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richie/Downloads/"/>
    </mc:Choice>
  </mc:AlternateContent>
  <bookViews>
    <workbookView xWindow="0" yWindow="0" windowWidth="25600" windowHeight="16000" tabRatio="601"/>
  </bookViews>
  <sheets>
    <sheet name="Financial Statistics " sheetId="17" r:id="rId1"/>
    <sheet name="Data" sheetId="3" state="hidden" r:id="rId2"/>
    <sheet name="Sheet1" sheetId="22" state="hidden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5" i="17" l="1"/>
  <c r="H45" i="17"/>
  <c r="H32" i="17"/>
  <c r="J32" i="17"/>
  <c r="H23" i="17"/>
  <c r="H13" i="17"/>
  <c r="G23" i="17"/>
  <c r="I11" i="17"/>
  <c r="I17" i="17"/>
  <c r="H49" i="17"/>
  <c r="G41" i="17"/>
  <c r="H22" i="17"/>
  <c r="G21" i="17"/>
  <c r="H30" i="17"/>
  <c r="G14" i="17"/>
  <c r="H19" i="17"/>
  <c r="H20" i="17"/>
  <c r="H21" i="17"/>
  <c r="I20" i="17"/>
  <c r="H15" i="17"/>
  <c r="H14" i="17"/>
  <c r="H12" i="17"/>
  <c r="B64" i="17"/>
  <c r="C41" i="17"/>
  <c r="B46" i="17"/>
  <c r="B40" i="17"/>
  <c r="C40" i="17"/>
  <c r="C57" i="17"/>
  <c r="B41" i="17"/>
  <c r="B42" i="17"/>
  <c r="B21" i="17"/>
  <c r="C20" i="17"/>
  <c r="C21" i="17"/>
  <c r="C23" i="17"/>
  <c r="B23" i="17"/>
  <c r="B16" i="17"/>
  <c r="B14" i="17"/>
  <c r="B11" i="17"/>
  <c r="B39" i="17"/>
  <c r="B62" i="17"/>
  <c r="B43" i="17"/>
  <c r="B7" i="17"/>
  <c r="B33" i="17"/>
  <c r="B17" i="17"/>
  <c r="B6" i="17"/>
  <c r="B5" i="17"/>
  <c r="B45" i="17"/>
  <c r="B48" i="17"/>
  <c r="B50" i="17"/>
  <c r="B24" i="17"/>
  <c r="B61" i="17"/>
  <c r="B53" i="17"/>
  <c r="C30" i="17"/>
  <c r="C42" i="17"/>
  <c r="C39" i="17"/>
  <c r="C16" i="17"/>
  <c r="C64" i="17"/>
  <c r="C15" i="17"/>
  <c r="C49" i="17"/>
  <c r="C46" i="17"/>
  <c r="C14" i="17"/>
  <c r="C11" i="17"/>
  <c r="C17" i="17"/>
  <c r="C5" i="17"/>
  <c r="C6" i="17"/>
  <c r="C24" i="17"/>
  <c r="C33" i="17"/>
  <c r="C43" i="17"/>
  <c r="C7" i="17"/>
  <c r="C62" i="17"/>
  <c r="C45" i="17"/>
  <c r="C48" i="17"/>
  <c r="C50" i="17"/>
  <c r="C53" i="17"/>
  <c r="C61" i="17"/>
  <c r="K39" i="17"/>
  <c r="H39" i="17"/>
  <c r="G39" i="17"/>
  <c r="F39" i="17"/>
  <c r="E39" i="17"/>
  <c r="D39" i="17"/>
  <c r="J38" i="17"/>
  <c r="J39" i="17"/>
  <c r="I39" i="17"/>
  <c r="E49" i="17"/>
  <c r="D41" i="17"/>
  <c r="L38" i="17"/>
  <c r="L39" i="17"/>
  <c r="M39" i="17"/>
  <c r="M38" i="17"/>
  <c r="E38" i="17"/>
  <c r="K38" i="17"/>
  <c r="H38" i="17"/>
  <c r="H43" i="17"/>
  <c r="G38" i="17"/>
  <c r="F38" i="17"/>
  <c r="E23" i="17"/>
  <c r="D55" i="17"/>
  <c r="E46" i="17"/>
  <c r="F57" i="17"/>
  <c r="D40" i="17"/>
  <c r="E41" i="17"/>
  <c r="D21" i="17"/>
  <c r="F23" i="17"/>
  <c r="D62" i="17"/>
  <c r="D42" i="17"/>
  <c r="D43" i="17"/>
  <c r="D33" i="17"/>
  <c r="E21" i="17"/>
  <c r="F21" i="17"/>
  <c r="D45" i="17"/>
  <c r="D48" i="17"/>
  <c r="D50" i="17"/>
  <c r="E12" i="17"/>
  <c r="F12" i="17"/>
  <c r="D23" i="17"/>
  <c r="D24" i="17"/>
  <c r="D17" i="17"/>
  <c r="D53" i="17"/>
  <c r="D61" i="17"/>
  <c r="D7" i="17"/>
  <c r="D6" i="17"/>
  <c r="D5" i="17"/>
  <c r="K68" i="17"/>
  <c r="L68" i="17"/>
  <c r="O69" i="17"/>
  <c r="P69" i="17"/>
  <c r="Q69" i="17"/>
  <c r="R69" i="17"/>
  <c r="S69" i="17"/>
  <c r="G68" i="17"/>
  <c r="E55" i="17"/>
  <c r="F55" i="17"/>
  <c r="F40" i="17"/>
  <c r="F69" i="17"/>
  <c r="E40" i="17"/>
  <c r="E69" i="17"/>
  <c r="E75" i="17"/>
  <c r="F62" i="17"/>
  <c r="E62" i="17"/>
  <c r="F41" i="17"/>
  <c r="F43" i="17"/>
  <c r="F14" i="17"/>
  <c r="F11" i="17"/>
  <c r="E68" i="17"/>
  <c r="E70" i="17"/>
  <c r="E71" i="17"/>
  <c r="E72" i="17"/>
  <c r="F68" i="17"/>
  <c r="E42" i="17"/>
  <c r="E43" i="17"/>
  <c r="E14" i="17"/>
  <c r="E11" i="17"/>
  <c r="E7" i="17"/>
  <c r="E33" i="17"/>
  <c r="E24" i="17"/>
  <c r="E6" i="17"/>
  <c r="E5" i="17"/>
  <c r="E17" i="17"/>
  <c r="E45" i="17"/>
  <c r="E48" i="17"/>
  <c r="E50" i="17"/>
  <c r="E74" i="17"/>
  <c r="E76" i="17"/>
  <c r="E53" i="17"/>
  <c r="E61" i="17"/>
  <c r="F64" i="17"/>
  <c r="F70" i="17"/>
  <c r="F71" i="17"/>
  <c r="F72" i="17"/>
  <c r="F33" i="17"/>
  <c r="F45" i="17"/>
  <c r="F48" i="17"/>
  <c r="F50" i="17"/>
  <c r="F74" i="17"/>
  <c r="F5" i="17"/>
  <c r="F6" i="17"/>
  <c r="F7" i="17"/>
  <c r="F53" i="17"/>
  <c r="F61" i="17"/>
  <c r="F17" i="17"/>
  <c r="F24" i="17"/>
  <c r="G40" i="17"/>
  <c r="G43" i="17"/>
  <c r="I21" i="17"/>
  <c r="N48" i="17"/>
  <c r="M48" i="17"/>
  <c r="I69" i="17"/>
  <c r="H68" i="17"/>
  <c r="G69" i="17"/>
  <c r="H11" i="17"/>
  <c r="G70" i="17"/>
  <c r="G71" i="17"/>
  <c r="G72" i="17"/>
  <c r="F75" i="17"/>
  <c r="F76" i="17"/>
  <c r="G24" i="17"/>
  <c r="G64" i="17"/>
  <c r="G31" i="17"/>
  <c r="G6" i="17"/>
  <c r="G30" i="17"/>
  <c r="G5" i="17"/>
  <c r="G11" i="17"/>
  <c r="G17" i="17"/>
  <c r="H64" i="17"/>
  <c r="H62" i="17"/>
  <c r="J17" i="17"/>
  <c r="I33" i="17"/>
  <c r="G33" i="3"/>
  <c r="G34" i="3"/>
  <c r="I41" i="17"/>
  <c r="I42" i="17"/>
  <c r="F33" i="3"/>
  <c r="F34" i="3"/>
  <c r="J40" i="17"/>
  <c r="J43" i="17"/>
  <c r="K31" i="17"/>
  <c r="K33" i="17"/>
  <c r="K40" i="17"/>
  <c r="K41" i="17"/>
  <c r="K46" i="17"/>
  <c r="K49" i="17"/>
  <c r="L33" i="17"/>
  <c r="L40" i="17"/>
  <c r="L43" i="17"/>
  <c r="M33" i="17"/>
  <c r="C33" i="3"/>
  <c r="C34" i="3"/>
  <c r="M41" i="17"/>
  <c r="M43" i="17"/>
  <c r="M49" i="17"/>
  <c r="L55" i="17"/>
  <c r="K55" i="17"/>
  <c r="K56" i="17"/>
  <c r="J55" i="17"/>
  <c r="J56" i="17"/>
  <c r="I56" i="17"/>
  <c r="H4" i="17"/>
  <c r="G39" i="3"/>
  <c r="J62" i="17"/>
  <c r="J4" i="3"/>
  <c r="J68" i="17"/>
  <c r="I68" i="17"/>
  <c r="J23" i="17"/>
  <c r="J21" i="17"/>
  <c r="J69" i="17"/>
  <c r="I75" i="17"/>
  <c r="I23" i="17"/>
  <c r="I24" i="17"/>
  <c r="K24" i="3"/>
  <c r="K19" i="3"/>
  <c r="K18" i="3"/>
  <c r="K8" i="3"/>
  <c r="I62" i="17"/>
  <c r="K4" i="3"/>
  <c r="J18" i="3"/>
  <c r="J19" i="3"/>
  <c r="I64" i="17"/>
  <c r="I6" i="17"/>
  <c r="I5" i="17"/>
  <c r="J64" i="17"/>
  <c r="K64" i="17"/>
  <c r="K11" i="17"/>
  <c r="K17" i="17"/>
  <c r="E49" i="3"/>
  <c r="K23" i="17"/>
  <c r="K21" i="17"/>
  <c r="K69" i="17"/>
  <c r="N40" i="17"/>
  <c r="C29" i="3"/>
  <c r="E33" i="3"/>
  <c r="E34" i="3"/>
  <c r="D33" i="3"/>
  <c r="D34" i="3"/>
  <c r="N39" i="17"/>
  <c r="N17" i="17"/>
  <c r="M11" i="17"/>
  <c r="M17" i="17"/>
  <c r="C44" i="3"/>
  <c r="L11" i="17"/>
  <c r="L17" i="17"/>
  <c r="D49" i="3"/>
  <c r="J8" i="3"/>
  <c r="O39" i="17"/>
  <c r="O40" i="17"/>
  <c r="P43" i="17"/>
  <c r="P7" i="17"/>
  <c r="Q39" i="17"/>
  <c r="Q43" i="17"/>
  <c r="Q7" i="17"/>
  <c r="K5" i="17"/>
  <c r="B9" i="3"/>
  <c r="B13" i="3"/>
  <c r="I8" i="3"/>
  <c r="I19" i="3"/>
  <c r="I18" i="3"/>
  <c r="H4" i="3"/>
  <c r="M62" i="17"/>
  <c r="G4" i="3"/>
  <c r="N62" i="17"/>
  <c r="F4" i="3"/>
  <c r="O62" i="17"/>
  <c r="E4" i="3"/>
  <c r="P62" i="17"/>
  <c r="D4" i="3"/>
  <c r="Q62" i="17"/>
  <c r="C4" i="3"/>
  <c r="B4" i="3"/>
  <c r="H3" i="3"/>
  <c r="N61" i="17"/>
  <c r="F3" i="3"/>
  <c r="O33" i="17"/>
  <c r="P33" i="17"/>
  <c r="P48" i="17"/>
  <c r="P50" i="17"/>
  <c r="Q33" i="17"/>
  <c r="B3" i="3"/>
  <c r="M23" i="17"/>
  <c r="M21" i="17"/>
  <c r="M69" i="17"/>
  <c r="L23" i="17"/>
  <c r="L21" i="17"/>
  <c r="M22" i="17"/>
  <c r="M68" i="17"/>
  <c r="N31" i="17"/>
  <c r="N49" i="17"/>
  <c r="N23" i="17"/>
  <c r="N22" i="17"/>
  <c r="N68" i="17"/>
  <c r="N21" i="17"/>
  <c r="N69" i="17"/>
  <c r="N53" i="17"/>
  <c r="N58" i="17"/>
  <c r="Q24" i="17"/>
  <c r="P24" i="17"/>
  <c r="O23" i="17"/>
  <c r="O24" i="17"/>
  <c r="Q17" i="17"/>
  <c r="P17" i="17"/>
  <c r="O17" i="17"/>
  <c r="I43" i="17"/>
  <c r="I7" i="17"/>
  <c r="K70" i="17"/>
  <c r="K71" i="17"/>
  <c r="K43" i="17"/>
  <c r="J75" i="17"/>
  <c r="M75" i="17"/>
  <c r="N70" i="17"/>
  <c r="N71" i="17"/>
  <c r="L24" i="17"/>
  <c r="L69" i="17"/>
  <c r="K75" i="17"/>
  <c r="H24" i="17"/>
  <c r="H69" i="17"/>
  <c r="M70" i="17"/>
  <c r="M71" i="17"/>
  <c r="K24" i="17"/>
  <c r="H33" i="17"/>
  <c r="K6" i="17"/>
  <c r="B44" i="3"/>
  <c r="H5" i="17"/>
  <c r="C37" i="3"/>
  <c r="C39" i="3"/>
  <c r="N43" i="17"/>
  <c r="N7" i="17"/>
  <c r="C49" i="3"/>
  <c r="G7" i="17"/>
  <c r="O43" i="17"/>
  <c r="O7" i="17"/>
  <c r="C40" i="3"/>
  <c r="H17" i="17"/>
  <c r="G44" i="3"/>
  <c r="L7" i="17"/>
  <c r="K7" i="17"/>
  <c r="D38" i="3"/>
  <c r="D37" i="3"/>
  <c r="N24" i="17"/>
  <c r="F39" i="3"/>
  <c r="C38" i="3"/>
  <c r="M24" i="17"/>
  <c r="B40" i="3"/>
  <c r="G37" i="3"/>
  <c r="H7" i="17"/>
  <c r="J6" i="17"/>
  <c r="J5" i="17"/>
  <c r="P53" i="17"/>
  <c r="P58" i="17"/>
  <c r="P61" i="17"/>
  <c r="D3" i="3"/>
  <c r="F29" i="3"/>
  <c r="L48" i="17"/>
  <c r="L50" i="17"/>
  <c r="C13" i="3"/>
  <c r="C9" i="3"/>
  <c r="E38" i="3"/>
  <c r="I17" i="3"/>
  <c r="I13" i="3"/>
  <c r="H9" i="3"/>
  <c r="H13" i="3"/>
  <c r="N33" i="17"/>
  <c r="O48" i="17"/>
  <c r="O50" i="17"/>
  <c r="E37" i="3"/>
  <c r="B29" i="3"/>
  <c r="B39" i="3"/>
  <c r="B38" i="3"/>
  <c r="G29" i="3"/>
  <c r="K17" i="3"/>
  <c r="G40" i="3"/>
  <c r="G38" i="3"/>
  <c r="Q45" i="17"/>
  <c r="Q48" i="17"/>
  <c r="Q50" i="17"/>
  <c r="I24" i="3"/>
  <c r="B33" i="3"/>
  <c r="B34" i="3"/>
  <c r="B37" i="3"/>
  <c r="B49" i="3"/>
  <c r="D39" i="3"/>
  <c r="D40" i="3"/>
  <c r="D29" i="3"/>
  <c r="E39" i="3"/>
  <c r="F49" i="3"/>
  <c r="F44" i="3"/>
  <c r="J24" i="17"/>
  <c r="D44" i="3"/>
  <c r="E40" i="3"/>
  <c r="I70" i="17"/>
  <c r="I71" i="17"/>
  <c r="I72" i="17"/>
  <c r="G49" i="3"/>
  <c r="E44" i="3"/>
  <c r="E29" i="3"/>
  <c r="H6" i="17"/>
  <c r="J33" i="17"/>
  <c r="G33" i="17"/>
  <c r="G45" i="17"/>
  <c r="G48" i="17"/>
  <c r="G50" i="17"/>
  <c r="G74" i="17"/>
  <c r="J70" i="17"/>
  <c r="J71" i="17"/>
  <c r="J72" i="17"/>
  <c r="J48" i="17"/>
  <c r="J50" i="17"/>
  <c r="J74" i="17"/>
  <c r="H70" i="17"/>
  <c r="H71" i="17"/>
  <c r="H72" i="17"/>
  <c r="H75" i="17"/>
  <c r="G75" i="17"/>
  <c r="G76" i="17"/>
  <c r="L53" i="17"/>
  <c r="L74" i="17"/>
  <c r="L70" i="17"/>
  <c r="L71" i="17"/>
  <c r="L75" i="17"/>
  <c r="J61" i="17"/>
  <c r="J3" i="3"/>
  <c r="J76" i="17"/>
  <c r="J7" i="17"/>
  <c r="G53" i="17"/>
  <c r="G61" i="17"/>
  <c r="K45" i="17"/>
  <c r="K48" i="17"/>
  <c r="K50" i="17"/>
  <c r="F13" i="3"/>
  <c r="G9" i="3"/>
  <c r="G13" i="3"/>
  <c r="J17" i="3"/>
  <c r="F37" i="3"/>
  <c r="F38" i="3"/>
  <c r="F40" i="3"/>
  <c r="F9" i="3"/>
  <c r="S45" i="17"/>
  <c r="H48" i="17"/>
  <c r="H50" i="17"/>
  <c r="H53" i="17"/>
  <c r="K13" i="3"/>
  <c r="K9" i="3"/>
  <c r="O61" i="17"/>
  <c r="E3" i="3"/>
  <c r="O53" i="17"/>
  <c r="O58" i="17"/>
  <c r="J53" i="17"/>
  <c r="D9" i="3"/>
  <c r="D13" i="3"/>
  <c r="J24" i="3"/>
  <c r="I9" i="3"/>
  <c r="Q61" i="17"/>
  <c r="C3" i="3"/>
  <c r="Q53" i="17"/>
  <c r="Q58" i="17"/>
  <c r="I48" i="17"/>
  <c r="I50" i="17"/>
  <c r="M7" i="17"/>
  <c r="M50" i="17"/>
  <c r="M74" i="17"/>
  <c r="M76" i="17"/>
  <c r="E13" i="3"/>
  <c r="E9" i="3"/>
  <c r="H74" i="17"/>
  <c r="I53" i="17"/>
  <c r="I74" i="17"/>
  <c r="I76" i="17"/>
  <c r="H76" i="17"/>
  <c r="K53" i="17"/>
  <c r="K74" i="17"/>
  <c r="K76" i="17"/>
  <c r="L76" i="17"/>
  <c r="H61" i="17"/>
  <c r="J9" i="3"/>
  <c r="J13" i="3"/>
  <c r="M61" i="17"/>
  <c r="G3" i="3"/>
  <c r="M53" i="17"/>
  <c r="M58" i="17"/>
  <c r="L58" i="17"/>
  <c r="K54" i="17"/>
  <c r="I61" i="17"/>
  <c r="K58" i="17"/>
  <c r="J54" i="17"/>
  <c r="J58" i="17"/>
  <c r="I58" i="17"/>
  <c r="H58" i="17"/>
  <c r="G58" i="17"/>
  <c r="F54" i="17"/>
  <c r="F58" i="17"/>
  <c r="E54" i="17"/>
  <c r="E58" i="17"/>
  <c r="D54" i="17"/>
  <c r="D58" i="17"/>
  <c r="C54" i="17"/>
  <c r="C58" i="17"/>
  <c r="B54" i="17"/>
  <c r="B58" i="17"/>
  <c r="K3" i="3"/>
</calcChain>
</file>

<file path=xl/sharedStrings.xml><?xml version="1.0" encoding="utf-8"?>
<sst xmlns="http://schemas.openxmlformats.org/spreadsheetml/2006/main" count="193" uniqueCount="97">
  <si>
    <t>Units Sold (kWh x 1000)</t>
  </si>
  <si>
    <t>Summarised Balance Sheet (EC$000's)</t>
  </si>
  <si>
    <t xml:space="preserve">     Fixed Assets (Net)</t>
  </si>
  <si>
    <t xml:space="preserve">     Current Assets</t>
  </si>
  <si>
    <t xml:space="preserve">     Current Liabilities</t>
  </si>
  <si>
    <t>Total</t>
  </si>
  <si>
    <t xml:space="preserve">     Share Capital</t>
  </si>
  <si>
    <t xml:space="preserve">     Retained Earnings</t>
  </si>
  <si>
    <t xml:space="preserve">     Long Term Debt</t>
  </si>
  <si>
    <t>Summarised Income Statement (EC$000's)</t>
  </si>
  <si>
    <t>Operating Revenues</t>
  </si>
  <si>
    <t xml:space="preserve">    </t>
  </si>
  <si>
    <t xml:space="preserve">     Electricity</t>
  </si>
  <si>
    <t xml:space="preserve">     Fuel Surcharge</t>
  </si>
  <si>
    <t xml:space="preserve">     Other</t>
  </si>
  <si>
    <t>Operating Costs</t>
  </si>
  <si>
    <t xml:space="preserve">     Transmission &amp; Distribution</t>
  </si>
  <si>
    <t xml:space="preserve">     Administrative &amp; Selling</t>
  </si>
  <si>
    <t>Operating Income</t>
  </si>
  <si>
    <t xml:space="preserve">     Taxation</t>
  </si>
  <si>
    <t>Earnings per share (EC$)</t>
  </si>
  <si>
    <t>Dividend per share (EC$)</t>
  </si>
  <si>
    <t>Debt/Equity Ratio</t>
  </si>
  <si>
    <t>-</t>
  </si>
  <si>
    <t>45/55</t>
  </si>
  <si>
    <t>48/52</t>
  </si>
  <si>
    <t xml:space="preserve">     Retirement Benefit Asset</t>
  </si>
  <si>
    <t>53/47</t>
  </si>
  <si>
    <t>50/50</t>
  </si>
  <si>
    <t xml:space="preserve">     Capital Work in Progress</t>
  </si>
  <si>
    <t xml:space="preserve">     Other Long Term Liabilities</t>
  </si>
  <si>
    <t>Net Income before Tax</t>
  </si>
  <si>
    <t>Net Income after Tax</t>
  </si>
  <si>
    <t>Dividend Declared</t>
  </si>
  <si>
    <t>Retained Earnings for Year</t>
  </si>
  <si>
    <t>Retained Earnings beginning of Year</t>
  </si>
  <si>
    <t>Prior Year Adjustment</t>
  </si>
  <si>
    <t>Retained Earnings end of Year</t>
  </si>
  <si>
    <t>Tariff Reduction Reserve</t>
  </si>
  <si>
    <t>43/57</t>
  </si>
  <si>
    <t>2006</t>
  </si>
  <si>
    <t>The return on rate base calculations changed with effect from 2005 in accordance with Amendment Act No 12 of 2006 and 13 of 2006.</t>
  </si>
  <si>
    <t>2000</t>
  </si>
  <si>
    <t>2001</t>
  </si>
  <si>
    <t>2002</t>
  </si>
  <si>
    <t>2003</t>
  </si>
  <si>
    <t>2004</t>
  </si>
  <si>
    <t>2005</t>
  </si>
  <si>
    <t xml:space="preserve">Power Station and Office Use </t>
  </si>
  <si>
    <t xml:space="preserve">Losses </t>
  </si>
  <si>
    <t>Sales</t>
  </si>
  <si>
    <t>No. of Customers</t>
  </si>
  <si>
    <t>2007</t>
  </si>
  <si>
    <t>Diesel Fuel Consumed (Imp. Gall.)</t>
  </si>
  <si>
    <t>Units Generated (kwh)</t>
  </si>
  <si>
    <t>T &amp; D Costs/units sold</t>
  </si>
  <si>
    <t>T &amp; D Costs/Asset Base</t>
  </si>
  <si>
    <t>Generation Costs/Asset Base</t>
  </si>
  <si>
    <t>47/53</t>
  </si>
  <si>
    <t>Fuel Costs</t>
  </si>
  <si>
    <t>Total Generation costs</t>
  </si>
  <si>
    <t>Units / Gallon</t>
  </si>
  <si>
    <t>Finance Costs</t>
  </si>
  <si>
    <t>T &amp; D Costs</t>
  </si>
  <si>
    <t>Generation Costs</t>
  </si>
  <si>
    <t>Administration Costs</t>
  </si>
  <si>
    <t>T&amp;D Costs/ kWh</t>
  </si>
  <si>
    <t>Other Comprehensive income</t>
  </si>
  <si>
    <t>41/59</t>
  </si>
  <si>
    <t xml:space="preserve">     Depreciation and amortisation</t>
  </si>
  <si>
    <t>40/60</t>
  </si>
  <si>
    <t>36/64</t>
  </si>
  <si>
    <t>39/61</t>
  </si>
  <si>
    <t xml:space="preserve">     Other Reserves &amp; Consumer Contributions</t>
  </si>
  <si>
    <t xml:space="preserve">     Fuel</t>
  </si>
  <si>
    <t xml:space="preserve">     Generation</t>
  </si>
  <si>
    <t>Equity</t>
  </si>
  <si>
    <t>debt</t>
  </si>
  <si>
    <t>total capital</t>
  </si>
  <si>
    <t>ROE</t>
  </si>
  <si>
    <t>Debt</t>
  </si>
  <si>
    <t>Equity ratio</t>
  </si>
  <si>
    <t>Net profit</t>
  </si>
  <si>
    <t>Average equity</t>
  </si>
  <si>
    <t>Rate of Return</t>
  </si>
  <si>
    <t xml:space="preserve">     Interest Expense (net)</t>
  </si>
  <si>
    <t>35/65</t>
  </si>
  <si>
    <t xml:space="preserve">     Other Gains (net)</t>
  </si>
  <si>
    <t>Transfer from/(to) Reserves</t>
  </si>
  <si>
    <t xml:space="preserve">     Other Financial Assets</t>
  </si>
  <si>
    <t>30/70</t>
  </si>
  <si>
    <t>Capital expenditure (EC$'000s)</t>
  </si>
  <si>
    <t>Restated</t>
  </si>
  <si>
    <t xml:space="preserve">Financial Statistics </t>
  </si>
  <si>
    <t>Tariff Sales (EC Cents per kWh)</t>
  </si>
  <si>
    <t>Fuel Charge (EC Cents per kWh)</t>
  </si>
  <si>
    <t>Operating costs (EC Cents per 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</si>
</sst>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_);\(0\)"/>
    <numFmt numFmtId="167" formatCode="0.0"/>
    <numFmt numFmtId="168" formatCode="&quot;$&quot;#,##0.00"/>
    <numFmt numFmtId="169" formatCode="0.0%"/>
    <numFmt numFmtId="170" formatCode="#,##0;[Red]#,##0"/>
    <numFmt numFmtId="171" formatCode="#,##0.0"/>
    <numFmt numFmtId="172" formatCode="0_);[Red]\(0\)"/>
    <numFmt numFmtId="173" formatCode="#,##0.0_);[Red]\(#,##0.0\)"/>
    <numFmt numFmtId="174" formatCode="_-* #,##0_-;\-* #,##0_-;_-* &quot;-&quot;??_-;_-@_-"/>
    <numFmt numFmtId="175" formatCode="_-* #,##0.000_-;\-* #,##0.000_-;_-* &quot;-&quot;??_-;_-@_-"/>
    <numFmt numFmtId="176" formatCode="0.0_);\(0.0\)"/>
    <numFmt numFmtId="177" formatCode="#,##0.000_);\(#,##0.000\)"/>
    <numFmt numFmtId="178" formatCode="_(* #,##0_);_(* \(#,##0\);_(* &quot;-&quot;??_);_(@_)"/>
    <numFmt numFmtId="179" formatCode="#,##0.0_);\(#,##0.0\)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3" fontId="4" fillId="0" borderId="0" xfId="0" applyNumberFormat="1" applyFont="1"/>
    <xf numFmtId="3" fontId="4" fillId="0" borderId="0" xfId="0" quotePrefix="1" applyNumberFormat="1" applyFont="1" applyAlignment="1">
      <alignment horizontal="right"/>
    </xf>
    <xf numFmtId="37" fontId="4" fillId="0" borderId="0" xfId="0" applyNumberFormat="1" applyFont="1"/>
    <xf numFmtId="3" fontId="4" fillId="0" borderId="1" xfId="0" applyNumberFormat="1" applyFont="1" applyBorder="1"/>
    <xf numFmtId="3" fontId="4" fillId="0" borderId="0" xfId="0" applyNumberFormat="1" applyFont="1" applyAlignment="1">
      <alignment horizontal="right"/>
    </xf>
    <xf numFmtId="3" fontId="4" fillId="0" borderId="2" xfId="0" applyNumberFormat="1" applyFont="1" applyBorder="1"/>
    <xf numFmtId="3" fontId="4" fillId="0" borderId="3" xfId="0" applyNumberFormat="1" applyFont="1" applyBorder="1"/>
    <xf numFmtId="167" fontId="4" fillId="0" borderId="0" xfId="0" applyNumberFormat="1" applyFont="1"/>
    <xf numFmtId="0" fontId="3" fillId="0" borderId="0" xfId="0" applyFont="1" applyAlignment="1">
      <alignment horizontal="centerContinuous"/>
    </xf>
    <xf numFmtId="3" fontId="0" fillId="0" borderId="0" xfId="0" applyNumberFormat="1"/>
    <xf numFmtId="169" fontId="0" fillId="0" borderId="0" xfId="0" applyNumberFormat="1"/>
    <xf numFmtId="37" fontId="0" fillId="0" borderId="0" xfId="0" applyNumberFormat="1"/>
    <xf numFmtId="10" fontId="4" fillId="0" borderId="0" xfId="0" applyNumberFormat="1" applyFont="1"/>
    <xf numFmtId="168" fontId="4" fillId="0" borderId="0" xfId="0" applyNumberFormat="1" applyFont="1"/>
    <xf numFmtId="0" fontId="4" fillId="0" borderId="0" xfId="0" applyFont="1" applyAlignment="1">
      <alignment horizontal="right"/>
    </xf>
    <xf numFmtId="37" fontId="4" fillId="0" borderId="3" xfId="0" applyNumberFormat="1" applyFont="1" applyBorder="1"/>
    <xf numFmtId="170" fontId="4" fillId="0" borderId="0" xfId="0" applyNumberFormat="1" applyFont="1"/>
    <xf numFmtId="41" fontId="4" fillId="0" borderId="0" xfId="0" applyNumberFormat="1" applyFont="1"/>
    <xf numFmtId="170" fontId="4" fillId="0" borderId="3" xfId="0" applyNumberFormat="1" applyFont="1" applyBorder="1"/>
    <xf numFmtId="170" fontId="4" fillId="0" borderId="1" xfId="0" applyNumberFormat="1" applyFont="1" applyBorder="1"/>
    <xf numFmtId="166" fontId="4" fillId="0" borderId="3" xfId="0" applyNumberFormat="1" applyFont="1" applyBorder="1" applyAlignment="1">
      <alignment horizontal="right"/>
    </xf>
    <xf numFmtId="168" fontId="4" fillId="0" borderId="0" xfId="0" quotePrefix="1" applyNumberFormat="1" applyFont="1" applyAlignment="1">
      <alignment horizontal="right"/>
    </xf>
    <xf numFmtId="10" fontId="0" fillId="0" borderId="0" xfId="0" applyNumberFormat="1"/>
    <xf numFmtId="0" fontId="0" fillId="0" borderId="0" xfId="0" applyAlignment="1">
      <alignment horizontal="right"/>
    </xf>
    <xf numFmtId="37" fontId="4" fillId="0" borderId="0" xfId="0" quotePrefix="1" applyNumberFormat="1" applyFont="1" applyAlignment="1">
      <alignment horizontal="right"/>
    </xf>
    <xf numFmtId="3" fontId="3" fillId="0" borderId="0" xfId="0" applyNumberFormat="1" applyFont="1"/>
    <xf numFmtId="1" fontId="3" fillId="0" borderId="0" xfId="0" applyNumberFormat="1" applyFont="1"/>
    <xf numFmtId="3" fontId="3" fillId="0" borderId="0" xfId="0" applyNumberFormat="1" applyFont="1" applyAlignment="1">
      <alignment horizontal="center"/>
    </xf>
    <xf numFmtId="170" fontId="0" fillId="0" borderId="0" xfId="0" applyNumberFormat="1" applyBorder="1"/>
    <xf numFmtId="170" fontId="4" fillId="0" borderId="0" xfId="0" applyNumberFormat="1" applyFont="1" applyBorder="1"/>
    <xf numFmtId="171" fontId="4" fillId="0" borderId="0" xfId="0" applyNumberFormat="1" applyFont="1"/>
    <xf numFmtId="38" fontId="3" fillId="0" borderId="0" xfId="0" applyNumberFormat="1" applyFont="1" applyAlignment="1">
      <alignment horizontal="right"/>
    </xf>
    <xf numFmtId="38" fontId="0" fillId="0" borderId="0" xfId="0" applyNumberFormat="1" applyAlignment="1">
      <alignment horizontal="right"/>
    </xf>
    <xf numFmtId="172" fontId="3" fillId="0" borderId="0" xfId="0" applyNumberFormat="1" applyFont="1" applyAlignment="1">
      <alignment horizontal="right"/>
    </xf>
    <xf numFmtId="0" fontId="0" fillId="0" borderId="0" xfId="0" applyBorder="1"/>
    <xf numFmtId="38" fontId="4" fillId="0" borderId="0" xfId="0" applyNumberFormat="1" applyFont="1" applyAlignment="1">
      <alignment vertical="justify"/>
    </xf>
    <xf numFmtId="173" fontId="4" fillId="0" borderId="0" xfId="0" applyNumberFormat="1" applyFont="1" applyAlignment="1">
      <alignment vertical="justify"/>
    </xf>
    <xf numFmtId="38" fontId="3" fillId="0" borderId="0" xfId="0" applyNumberFormat="1" applyFont="1" applyAlignment="1">
      <alignment vertical="justify"/>
    </xf>
    <xf numFmtId="37" fontId="4" fillId="0" borderId="0" xfId="0" applyNumberFormat="1" applyFont="1" applyAlignment="1">
      <alignment vertical="justify"/>
    </xf>
    <xf numFmtId="3" fontId="4" fillId="0" borderId="1" xfId="0" applyNumberFormat="1" applyFont="1" applyBorder="1" applyAlignment="1">
      <alignment vertical="justify"/>
    </xf>
    <xf numFmtId="38" fontId="0" fillId="0" borderId="0" xfId="0" applyNumberFormat="1" applyAlignment="1">
      <alignment vertical="justify"/>
    </xf>
    <xf numFmtId="3" fontId="4" fillId="0" borderId="0" xfId="0" applyNumberFormat="1" applyFont="1" applyAlignment="1">
      <alignment vertical="justify"/>
    </xf>
    <xf numFmtId="38" fontId="4" fillId="0" borderId="1" xfId="0" applyNumberFormat="1" applyFont="1" applyBorder="1" applyAlignment="1">
      <alignment vertical="justify"/>
    </xf>
    <xf numFmtId="38" fontId="4" fillId="0" borderId="3" xfId="0" applyNumberFormat="1" applyFont="1" applyBorder="1" applyAlignment="1">
      <alignment vertical="justify"/>
    </xf>
    <xf numFmtId="38" fontId="4" fillId="0" borderId="2" xfId="0" applyNumberFormat="1" applyFont="1" applyBorder="1" applyAlignment="1">
      <alignment vertical="justify"/>
    </xf>
    <xf numFmtId="10" fontId="4" fillId="0" borderId="0" xfId="0" applyNumberFormat="1" applyFont="1" applyAlignment="1">
      <alignment vertical="justify"/>
    </xf>
    <xf numFmtId="168" fontId="4" fillId="0" borderId="0" xfId="0" applyNumberFormat="1" applyFont="1" applyAlignment="1">
      <alignment vertical="justify"/>
    </xf>
    <xf numFmtId="3" fontId="4" fillId="0" borderId="2" xfId="0" applyNumberFormat="1" applyFont="1" applyBorder="1" applyAlignment="1">
      <alignment vertical="justify"/>
    </xf>
    <xf numFmtId="0" fontId="0" fillId="0" borderId="0" xfId="0" applyFill="1"/>
    <xf numFmtId="37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vertical="justify"/>
    </xf>
    <xf numFmtId="174" fontId="4" fillId="0" borderId="0" xfId="1" applyNumberFormat="1" applyFont="1"/>
    <xf numFmtId="174" fontId="0" fillId="0" borderId="0" xfId="1" applyNumberFormat="1" applyFont="1"/>
    <xf numFmtId="174" fontId="3" fillId="0" borderId="0" xfId="1" applyNumberFormat="1" applyFont="1"/>
    <xf numFmtId="174" fontId="4" fillId="0" borderId="1" xfId="1" applyNumberFormat="1" applyFont="1" applyBorder="1"/>
    <xf numFmtId="174" fontId="4" fillId="0" borderId="0" xfId="0" applyNumberFormat="1" applyFont="1"/>
    <xf numFmtId="174" fontId="4" fillId="0" borderId="3" xfId="1" applyNumberFormat="1" applyFont="1" applyBorder="1"/>
    <xf numFmtId="166" fontId="4" fillId="0" borderId="3" xfId="1" applyNumberFormat="1" applyFont="1" applyBorder="1"/>
    <xf numFmtId="174" fontId="0" fillId="0" borderId="0" xfId="0" applyNumberFormat="1"/>
    <xf numFmtId="37" fontId="4" fillId="0" borderId="0" xfId="1" applyNumberFormat="1" applyFont="1"/>
    <xf numFmtId="10" fontId="4" fillId="0" borderId="0" xfId="3" applyNumberFormat="1" applyFont="1"/>
    <xf numFmtId="164" fontId="4" fillId="0" borderId="0" xfId="2" applyFont="1"/>
    <xf numFmtId="169" fontId="0" fillId="0" borderId="0" xfId="3" applyNumberFormat="1" applyFont="1"/>
    <xf numFmtId="174" fontId="0" fillId="0" borderId="0" xfId="1" applyNumberFormat="1" applyFont="1" applyFill="1"/>
    <xf numFmtId="0" fontId="3" fillId="0" borderId="0" xfId="0" quotePrefix="1" applyFont="1" applyAlignment="1">
      <alignment horizontal="right"/>
    </xf>
    <xf numFmtId="37" fontId="4" fillId="0" borderId="0" xfId="1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/>
    <xf numFmtId="175" fontId="0" fillId="0" borderId="0" xfId="1" applyNumberFormat="1" applyFont="1"/>
    <xf numFmtId="2" fontId="3" fillId="0" borderId="0" xfId="0" applyNumberFormat="1" applyFont="1"/>
    <xf numFmtId="0" fontId="4" fillId="0" borderId="0" xfId="0" applyFont="1" applyFill="1"/>
    <xf numFmtId="39" fontId="3" fillId="0" borderId="0" xfId="1" applyNumberFormat="1" applyFont="1"/>
    <xf numFmtId="37" fontId="3" fillId="0" borderId="0" xfId="0" applyNumberFormat="1" applyFont="1"/>
    <xf numFmtId="37" fontId="4" fillId="0" borderId="0" xfId="0" applyNumberFormat="1" applyFont="1" applyFill="1"/>
    <xf numFmtId="177" fontId="0" fillId="0" borderId="0" xfId="0" applyNumberFormat="1"/>
    <xf numFmtId="0" fontId="0" fillId="0" borderId="0" xfId="0" quotePrefix="1"/>
    <xf numFmtId="38" fontId="0" fillId="0" borderId="0" xfId="0" applyNumberFormat="1"/>
    <xf numFmtId="39" fontId="0" fillId="0" borderId="0" xfId="0" applyNumberFormat="1"/>
    <xf numFmtId="39" fontId="3" fillId="0" borderId="0" xfId="0" applyNumberFormat="1" applyFont="1"/>
    <xf numFmtId="3" fontId="4" fillId="0" borderId="0" xfId="0" applyNumberFormat="1" applyFont="1" applyFill="1" applyBorder="1"/>
    <xf numFmtId="176" fontId="4" fillId="0" borderId="0" xfId="0" applyNumberFormat="1" applyFont="1" applyAlignment="1">
      <alignment horizontal="right"/>
    </xf>
    <xf numFmtId="5" fontId="4" fillId="0" borderId="0" xfId="0" applyNumberFormat="1" applyFont="1" applyAlignment="1">
      <alignment horizontal="right"/>
    </xf>
    <xf numFmtId="5" fontId="4" fillId="0" borderId="0" xfId="0" quotePrefix="1" applyNumberFormat="1" applyFont="1" applyAlignment="1">
      <alignment horizontal="right"/>
    </xf>
    <xf numFmtId="174" fontId="4" fillId="0" borderId="0" xfId="1" applyNumberFormat="1" applyFont="1" applyFill="1"/>
    <xf numFmtId="37" fontId="4" fillId="0" borderId="0" xfId="1" applyNumberFormat="1" applyFont="1" applyFill="1"/>
    <xf numFmtId="174" fontId="4" fillId="0" borderId="1" xfId="1" applyNumberFormat="1" applyFont="1" applyFill="1" applyBorder="1"/>
    <xf numFmtId="37" fontId="4" fillId="0" borderId="3" xfId="0" applyNumberFormat="1" applyFont="1" applyFill="1" applyBorder="1"/>
    <xf numFmtId="174" fontId="0" fillId="0" borderId="0" xfId="0" applyNumberFormat="1" applyFill="1"/>
    <xf numFmtId="174" fontId="3" fillId="0" borderId="0" xfId="0" applyNumberFormat="1" applyFont="1" applyFill="1"/>
    <xf numFmtId="174" fontId="4" fillId="0" borderId="0" xfId="0" applyNumberFormat="1" applyFont="1" applyFill="1"/>
    <xf numFmtId="0" fontId="3" fillId="0" borderId="0" xfId="0" applyFont="1" applyFill="1"/>
    <xf numFmtId="37" fontId="4" fillId="0" borderId="3" xfId="1" applyNumberFormat="1" applyFont="1" applyFill="1" applyBorder="1"/>
    <xf numFmtId="10" fontId="4" fillId="0" borderId="0" xfId="0" applyNumberFormat="1" applyFont="1" applyFill="1"/>
    <xf numFmtId="174" fontId="3" fillId="0" borderId="0" xfId="1" applyNumberFormat="1" applyFont="1" applyFill="1"/>
    <xf numFmtId="174" fontId="4" fillId="0" borderId="0" xfId="1" applyNumberFormat="1" applyFont="1" applyFill="1" applyAlignment="1">
      <alignment horizontal="right"/>
    </xf>
    <xf numFmtId="4" fontId="0" fillId="0" borderId="0" xfId="1" applyNumberFormat="1" applyFont="1"/>
    <xf numFmtId="0" fontId="3" fillId="0" borderId="0" xfId="0" applyFont="1" applyAlignment="1">
      <alignment horizontal="left"/>
    </xf>
    <xf numFmtId="165" fontId="4" fillId="0" borderId="0" xfId="1" applyFont="1" applyFill="1"/>
    <xf numFmtId="0" fontId="1" fillId="0" borderId="0" xfId="0" applyFont="1" applyFill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174" fontId="3" fillId="0" borderId="0" xfId="1" applyNumberFormat="1" applyFont="1" applyFill="1" applyAlignment="1">
      <alignment horizontal="center"/>
    </xf>
    <xf numFmtId="0" fontId="3" fillId="0" borderId="0" xfId="1" applyNumberFormat="1" applyFont="1" applyFill="1"/>
    <xf numFmtId="4" fontId="0" fillId="0" borderId="0" xfId="1" applyNumberFormat="1" applyFont="1" applyFill="1"/>
    <xf numFmtId="174" fontId="1" fillId="0" borderId="0" xfId="1" applyNumberFormat="1" applyFont="1" applyFill="1"/>
    <xf numFmtId="0" fontId="1" fillId="0" borderId="0" xfId="0" applyFont="1" applyFill="1"/>
    <xf numFmtId="10" fontId="1" fillId="0" borderId="0" xfId="0" applyNumberFormat="1" applyFont="1" applyFill="1"/>
    <xf numFmtId="0" fontId="1" fillId="0" borderId="0" xfId="0" applyFont="1"/>
    <xf numFmtId="0" fontId="1" fillId="0" borderId="0" xfId="0" applyFont="1" applyAlignment="1">
      <alignment horizontal="right"/>
    </xf>
    <xf numFmtId="46" fontId="1" fillId="0" borderId="0" xfId="0" applyNumberFormat="1" applyFont="1" applyAlignment="1">
      <alignment horizontal="right"/>
    </xf>
    <xf numFmtId="0" fontId="1" fillId="0" borderId="0" xfId="4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4" fontId="3" fillId="0" borderId="0" xfId="0" applyNumberFormat="1" applyFont="1"/>
    <xf numFmtId="4" fontId="0" fillId="0" borderId="0" xfId="0" applyNumberFormat="1"/>
    <xf numFmtId="169" fontId="0" fillId="0" borderId="0" xfId="0" applyNumberFormat="1" applyAlignment="1">
      <alignment horizontal="right"/>
    </xf>
    <xf numFmtId="178" fontId="0" fillId="0" borderId="0" xfId="1" applyNumberFormat="1" applyFont="1" applyFill="1" applyAlignment="1">
      <alignment vertical="center" wrapText="1"/>
    </xf>
    <xf numFmtId="179" fontId="1" fillId="0" borderId="0" xfId="0" applyNumberFormat="1" applyFont="1" applyFill="1"/>
    <xf numFmtId="0" fontId="1" fillId="0" borderId="0" xfId="4" applyFont="1" applyFill="1"/>
    <xf numFmtId="0" fontId="3" fillId="0" borderId="0" xfId="0" applyFont="1" applyAlignment="1">
      <alignment horizontal="center"/>
    </xf>
    <xf numFmtId="37" fontId="0" fillId="0" borderId="0" xfId="0" applyNumberFormat="1" applyFill="1"/>
    <xf numFmtId="179" fontId="4" fillId="0" borderId="0" xfId="1" applyNumberFormat="1" applyFont="1" applyFill="1"/>
    <xf numFmtId="179" fontId="1" fillId="0" borderId="0" xfId="1" applyNumberFormat="1" applyFont="1" applyFill="1"/>
    <xf numFmtId="179" fontId="4" fillId="0" borderId="0" xfId="1" applyNumberFormat="1" applyFont="1"/>
    <xf numFmtId="179" fontId="4" fillId="0" borderId="0" xfId="1" applyNumberFormat="1" applyFont="1" applyFill="1" applyAlignment="1">
      <alignment horizontal="right"/>
    </xf>
    <xf numFmtId="179" fontId="1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179" fontId="4" fillId="0" borderId="0" xfId="0" applyNumberFormat="1" applyFont="1" applyAlignment="1">
      <alignment horizontal="right"/>
    </xf>
    <xf numFmtId="37" fontId="4" fillId="0" borderId="1" xfId="1" applyNumberFormat="1" applyFont="1" applyFill="1" applyBorder="1"/>
    <xf numFmtId="37" fontId="4" fillId="0" borderId="0" xfId="1" applyNumberFormat="1" applyFont="1" applyFill="1" applyBorder="1"/>
    <xf numFmtId="7" fontId="1" fillId="0" borderId="0" xfId="2" applyNumberFormat="1" applyFont="1" applyFill="1"/>
    <xf numFmtId="7" fontId="4" fillId="0" borderId="0" xfId="2" applyNumberFormat="1" applyFont="1" applyFill="1"/>
    <xf numFmtId="5" fontId="4" fillId="0" borderId="0" xfId="1" applyNumberFormat="1" applyFont="1" applyFill="1"/>
    <xf numFmtId="174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7" fontId="4" fillId="0" borderId="0" xfId="1" applyNumberFormat="1" applyFont="1" applyFill="1" applyAlignment="1">
      <alignment horizontal="right"/>
    </xf>
    <xf numFmtId="0" fontId="3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tabSelected="1" workbookViewId="0">
      <pane ySplit="3" topLeftCell="A37" activePane="bottomLeft" state="frozen"/>
      <selection pane="bottomLeft" activeCell="V28" sqref="V28"/>
    </sheetView>
  </sheetViews>
  <sheetFormatPr baseColWidth="10" defaultColWidth="8.83203125" defaultRowHeight="13" x14ac:dyDescent="0.15"/>
  <cols>
    <col min="1" max="1" width="39.5" customWidth="1"/>
    <col min="2" max="2" width="13.33203125" customWidth="1"/>
    <col min="3" max="3" width="14.5" customWidth="1"/>
    <col min="4" max="4" width="13" customWidth="1"/>
    <col min="5" max="6" width="12.33203125" customWidth="1"/>
    <col min="7" max="7" width="12.33203125" style="53" customWidth="1"/>
    <col min="8" max="8" width="12.33203125" style="112" customWidth="1"/>
    <col min="9" max="9" width="12.33203125" style="68" customWidth="1"/>
    <col min="10" max="11" width="12.33203125" customWidth="1"/>
    <col min="12" max="13" width="12.33203125" hidden="1" customWidth="1"/>
    <col min="14" max="14" width="12.33203125" style="37" hidden="1" customWidth="1"/>
    <col min="15" max="15" width="10.1640625" style="14" hidden="1" customWidth="1"/>
    <col min="16" max="17" width="10.1640625" hidden="1" customWidth="1"/>
    <col min="18" max="18" width="0" hidden="1" customWidth="1"/>
    <col min="19" max="19" width="0.1640625" customWidth="1"/>
    <col min="20" max="20" width="12" customWidth="1"/>
  </cols>
  <sheetData>
    <row r="1" spans="1:20" x14ac:dyDescent="0.15">
      <c r="A1" s="144" t="s">
        <v>93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20" x14ac:dyDescent="0.15">
      <c r="A2" s="2"/>
      <c r="B2" s="126"/>
      <c r="C2" s="119" t="s">
        <v>92</v>
      </c>
      <c r="D2" s="118"/>
      <c r="E2" s="119"/>
      <c r="F2" s="119"/>
      <c r="G2" s="106"/>
      <c r="H2" s="106"/>
      <c r="I2" s="108"/>
      <c r="J2" s="2"/>
      <c r="K2" s="2"/>
      <c r="L2" s="2"/>
      <c r="M2" s="2"/>
      <c r="N2" s="36"/>
      <c r="O2" s="32"/>
      <c r="P2" s="2"/>
      <c r="Q2" s="2"/>
      <c r="R2" s="2"/>
    </row>
    <row r="3" spans="1:20" x14ac:dyDescent="0.15">
      <c r="A3" s="3"/>
      <c r="B3" s="95">
        <v>2016</v>
      </c>
      <c r="C3" s="142">
        <v>2015</v>
      </c>
      <c r="D3" s="95">
        <v>2014</v>
      </c>
      <c r="E3" s="119">
        <v>2013</v>
      </c>
      <c r="F3" s="95">
        <v>2012</v>
      </c>
      <c r="G3" s="95">
        <v>2011</v>
      </c>
      <c r="H3" s="109">
        <v>2010</v>
      </c>
      <c r="I3" s="109">
        <v>2009</v>
      </c>
      <c r="J3" s="4">
        <v>2008</v>
      </c>
      <c r="K3" s="4">
        <v>2007</v>
      </c>
      <c r="L3" s="69" t="s">
        <v>40</v>
      </c>
      <c r="M3" s="4">
        <v>2005</v>
      </c>
      <c r="N3" s="38">
        <v>2004</v>
      </c>
      <c r="O3" s="31">
        <v>2003</v>
      </c>
      <c r="P3" s="4">
        <v>2002</v>
      </c>
      <c r="Q3" s="4">
        <v>2001</v>
      </c>
      <c r="R3" s="4">
        <v>2000</v>
      </c>
    </row>
    <row r="4" spans="1:20" x14ac:dyDescent="0.15">
      <c r="A4" s="3" t="s">
        <v>0</v>
      </c>
      <c r="B4" s="89">
        <v>348229</v>
      </c>
      <c r="C4" s="89">
        <v>337539.97600000002</v>
      </c>
      <c r="D4" s="89">
        <v>331939</v>
      </c>
      <c r="E4" s="89">
        <v>334479</v>
      </c>
      <c r="F4" s="89">
        <v>333324</v>
      </c>
      <c r="G4" s="89">
        <v>333378</v>
      </c>
      <c r="H4" s="89">
        <f>330729161/1000</f>
        <v>330729.16100000002</v>
      </c>
      <c r="I4" s="89">
        <v>315081.65000000002</v>
      </c>
      <c r="J4" s="89">
        <v>301975.39</v>
      </c>
      <c r="K4" s="89">
        <v>297841</v>
      </c>
      <c r="L4" s="56">
        <v>284398</v>
      </c>
      <c r="M4" s="5">
        <v>277399</v>
      </c>
      <c r="N4" s="40">
        <v>266402.41700000002</v>
      </c>
      <c r="O4" s="5">
        <v>252120</v>
      </c>
      <c r="P4" s="21">
        <v>239387</v>
      </c>
      <c r="Q4" s="21">
        <v>243417</v>
      </c>
      <c r="R4" s="5">
        <v>234080</v>
      </c>
    </row>
    <row r="5" spans="1:20" x14ac:dyDescent="0.15">
      <c r="A5" s="114" t="s">
        <v>94</v>
      </c>
      <c r="B5" s="128">
        <f t="shared" ref="B5:C5" si="0">B30/B4*100</f>
        <v>91.606672620603121</v>
      </c>
      <c r="C5" s="128">
        <f t="shared" si="0"/>
        <v>97.697168764389559</v>
      </c>
      <c r="D5" s="128">
        <f t="shared" ref="D5:E5" si="1">D30/D4*100</f>
        <v>98.683794311605439</v>
      </c>
      <c r="E5" s="128">
        <f t="shared" si="1"/>
        <v>98.282702352016116</v>
      </c>
      <c r="F5" s="128">
        <f t="shared" ref="F5:K5" si="2">F30/F4*100</f>
        <v>95.482173500858025</v>
      </c>
      <c r="G5" s="128">
        <f t="shared" si="2"/>
        <v>84.041838393655254</v>
      </c>
      <c r="H5" s="129">
        <f t="shared" si="2"/>
        <v>74.969198134905312</v>
      </c>
      <c r="I5" s="128">
        <f t="shared" si="2"/>
        <v>75.137666696870468</v>
      </c>
      <c r="J5" s="130">
        <f t="shared" si="2"/>
        <v>80.698960269576929</v>
      </c>
      <c r="K5" s="130">
        <f t="shared" si="2"/>
        <v>77.475565822032564</v>
      </c>
      <c r="L5" s="3">
        <v>67.400000000000006</v>
      </c>
      <c r="M5" s="12">
        <v>40.799999999999997</v>
      </c>
      <c r="N5" s="55">
        <v>41.7</v>
      </c>
      <c r="O5" s="12">
        <v>41</v>
      </c>
      <c r="P5" s="12">
        <v>41</v>
      </c>
      <c r="Q5" s="12">
        <v>41.3</v>
      </c>
      <c r="R5" s="12">
        <v>41.2</v>
      </c>
    </row>
    <row r="6" spans="1:20" x14ac:dyDescent="0.15">
      <c r="A6" s="114" t="s">
        <v>95</v>
      </c>
      <c r="B6" s="124">
        <f>B31/B4*100</f>
        <v>-16.975898044103165</v>
      </c>
      <c r="C6" s="124">
        <f>C31/C4*100</f>
        <v>-6.1083135231365899</v>
      </c>
      <c r="D6" s="124">
        <f>D31/D4*100</f>
        <v>-1.1059260888295741</v>
      </c>
      <c r="E6" s="128">
        <f>E31/E4*100</f>
        <v>0.35039569001342386</v>
      </c>
      <c r="F6" s="128">
        <f t="shared" ref="F6:K6" si="3">F31/F4*100</f>
        <v>6.6250855023940662</v>
      </c>
      <c r="G6" s="128">
        <f t="shared" si="3"/>
        <v>11.753924974053477</v>
      </c>
      <c r="H6" s="129">
        <f t="shared" si="3"/>
        <v>8.1359623441248345</v>
      </c>
      <c r="I6" s="128">
        <f t="shared" si="3"/>
        <v>6.3475610210877078E-3</v>
      </c>
      <c r="J6" s="130">
        <f t="shared" si="3"/>
        <v>19.024066828757139</v>
      </c>
      <c r="K6" s="130">
        <f t="shared" si="3"/>
        <v>3.4172595445220768</v>
      </c>
      <c r="L6" s="3">
        <v>12.3</v>
      </c>
      <c r="M6" s="41">
        <v>32.1</v>
      </c>
      <c r="N6" s="41">
        <v>22.6</v>
      </c>
      <c r="O6" s="35">
        <v>18.3</v>
      </c>
      <c r="P6" s="12">
        <v>14.9</v>
      </c>
      <c r="Q6" s="12">
        <v>16.600000000000001</v>
      </c>
      <c r="R6" s="12">
        <v>18.7</v>
      </c>
    </row>
    <row r="7" spans="1:20" x14ac:dyDescent="0.15">
      <c r="A7" s="112" t="s">
        <v>96</v>
      </c>
      <c r="B7" s="131">
        <f t="shared" ref="B7:C7" si="4">B43/B4*100</f>
        <v>59.401428370411423</v>
      </c>
      <c r="C7" s="131">
        <f t="shared" si="4"/>
        <v>77.424310772600151</v>
      </c>
      <c r="D7" s="131">
        <f t="shared" ref="D7:Q7" si="5">D43/D4*100</f>
        <v>84.129915436269926</v>
      </c>
      <c r="E7" s="131">
        <f t="shared" si="5"/>
        <v>85.242421796286166</v>
      </c>
      <c r="F7" s="131">
        <f t="shared" si="5"/>
        <v>88.777585772401622</v>
      </c>
      <c r="G7" s="131">
        <f t="shared" si="5"/>
        <v>82.803904276826898</v>
      </c>
      <c r="H7" s="132">
        <f t="shared" si="5"/>
        <v>69.117279924403149</v>
      </c>
      <c r="I7" s="133">
        <f t="shared" si="5"/>
        <v>61.39551446426664</v>
      </c>
      <c r="J7" s="134">
        <f t="shared" si="5"/>
        <v>86.130528716263939</v>
      </c>
      <c r="K7" s="134">
        <f t="shared" si="5"/>
        <v>66.251456313939315</v>
      </c>
      <c r="L7" s="85">
        <f t="shared" si="5"/>
        <v>65.212483913388979</v>
      </c>
      <c r="M7" s="85">
        <f t="shared" si="5"/>
        <v>59.188998518379663</v>
      </c>
      <c r="N7" s="85">
        <f t="shared" si="5"/>
        <v>25.268496719382238</v>
      </c>
      <c r="O7" s="85">
        <f t="shared" si="5"/>
        <v>26.522749087735995</v>
      </c>
      <c r="P7" s="85">
        <f t="shared" si="5"/>
        <v>27.436326951755944</v>
      </c>
      <c r="Q7" s="85">
        <f t="shared" si="5"/>
        <v>26.1366297341599</v>
      </c>
      <c r="R7" s="85">
        <v>43.624401913875602</v>
      </c>
    </row>
    <row r="8" spans="1:20" x14ac:dyDescent="0.15">
      <c r="A8" s="75"/>
      <c r="B8" s="131"/>
      <c r="C8" s="131"/>
      <c r="D8" s="131"/>
      <c r="E8" s="131"/>
      <c r="F8" s="131"/>
      <c r="G8" s="131"/>
      <c r="H8" s="132"/>
      <c r="I8" s="133"/>
      <c r="J8" s="134"/>
      <c r="K8" s="134"/>
      <c r="L8" s="85"/>
      <c r="M8" s="85"/>
      <c r="N8" s="85"/>
      <c r="O8" s="85"/>
      <c r="P8" s="85"/>
      <c r="Q8" s="85"/>
      <c r="R8" s="85"/>
    </row>
    <row r="9" spans="1:20" x14ac:dyDescent="0.15">
      <c r="A9" s="4" t="s">
        <v>1</v>
      </c>
      <c r="B9" s="4"/>
      <c r="C9" s="4"/>
      <c r="D9" s="4"/>
      <c r="E9" s="4"/>
      <c r="F9" s="4"/>
      <c r="G9" s="98"/>
      <c r="H9" s="95"/>
      <c r="I9" s="98"/>
      <c r="J9" s="4"/>
      <c r="K9" s="4"/>
      <c r="L9" s="4"/>
      <c r="M9" s="4"/>
      <c r="N9" s="42"/>
      <c r="O9" s="30"/>
      <c r="P9" s="3"/>
      <c r="Q9" s="3"/>
      <c r="R9" s="5"/>
    </row>
    <row r="10" spans="1:20" x14ac:dyDescent="0.15">
      <c r="A10" s="3"/>
      <c r="B10" s="3"/>
      <c r="C10" s="3"/>
      <c r="D10" s="3"/>
      <c r="E10" s="3"/>
      <c r="F10" s="3"/>
      <c r="G10" s="88"/>
      <c r="I10" s="88"/>
      <c r="J10" s="3"/>
      <c r="K10" s="3"/>
      <c r="L10" s="3"/>
      <c r="M10" s="3"/>
      <c r="N10" s="40"/>
      <c r="O10" s="5"/>
      <c r="P10" s="3"/>
      <c r="Q10" s="3"/>
      <c r="R10" s="5"/>
    </row>
    <row r="11" spans="1:20" x14ac:dyDescent="0.15">
      <c r="A11" s="75" t="s">
        <v>2</v>
      </c>
      <c r="B11" s="89">
        <f>336182+11773-B14</f>
        <v>332804</v>
      </c>
      <c r="C11" s="89">
        <f>341492+13082-C14</f>
        <v>338838</v>
      </c>
      <c r="D11" s="89">
        <v>334388</v>
      </c>
      <c r="E11" s="89">
        <f>341886+15589-E14</f>
        <v>336395</v>
      </c>
      <c r="F11" s="89">
        <f>346868+15053-F14</f>
        <v>328030</v>
      </c>
      <c r="G11" s="89">
        <f>301000-G14</f>
        <v>250154</v>
      </c>
      <c r="H11" s="89">
        <f>289877-H14</f>
        <v>273400</v>
      </c>
      <c r="I11" s="89">
        <f>298127-9658+3811-1</f>
        <v>292279</v>
      </c>
      <c r="J11" s="89">
        <v>292916</v>
      </c>
      <c r="K11" s="89">
        <f>303124-K14</f>
        <v>296606</v>
      </c>
      <c r="L11" s="56">
        <f>278502-11055</f>
        <v>267447</v>
      </c>
      <c r="M11" s="5">
        <f>277169.483-9297.074</f>
        <v>267872.40899999999</v>
      </c>
      <c r="N11" s="40">
        <v>223932</v>
      </c>
      <c r="O11" s="5">
        <v>236991</v>
      </c>
      <c r="P11" s="5">
        <v>250360</v>
      </c>
      <c r="Q11" s="5">
        <v>243001</v>
      </c>
      <c r="R11" s="5">
        <v>248243</v>
      </c>
      <c r="T11" s="123"/>
    </row>
    <row r="12" spans="1:20" x14ac:dyDescent="0.15">
      <c r="A12" s="75" t="s">
        <v>26</v>
      </c>
      <c r="B12" s="140" t="s">
        <v>23</v>
      </c>
      <c r="C12" s="140" t="s">
        <v>23</v>
      </c>
      <c r="D12" s="89">
        <v>4765</v>
      </c>
      <c r="E12" s="89">
        <f>3430-982</f>
        <v>2448</v>
      </c>
      <c r="F12" s="89">
        <f>4632-982</f>
        <v>3650</v>
      </c>
      <c r="G12" s="89">
        <v>9135</v>
      </c>
      <c r="H12" s="89">
        <f>9017</f>
        <v>9017</v>
      </c>
      <c r="I12" s="89">
        <v>8828</v>
      </c>
      <c r="J12" s="89">
        <v>8749</v>
      </c>
      <c r="K12" s="89">
        <v>7768</v>
      </c>
      <c r="L12" s="56">
        <v>2850</v>
      </c>
      <c r="M12" s="5">
        <v>2637</v>
      </c>
      <c r="N12" s="40">
        <v>2395</v>
      </c>
      <c r="O12" s="5">
        <v>1983</v>
      </c>
      <c r="P12" s="5">
        <v>1520</v>
      </c>
      <c r="Q12" s="5">
        <v>1083</v>
      </c>
      <c r="R12" s="5">
        <v>843</v>
      </c>
      <c r="T12" s="123"/>
    </row>
    <row r="13" spans="1:20" x14ac:dyDescent="0.15">
      <c r="A13" s="112" t="s">
        <v>89</v>
      </c>
      <c r="B13" s="140" t="s">
        <v>23</v>
      </c>
      <c r="C13" s="143">
        <v>172</v>
      </c>
      <c r="D13" s="89">
        <v>171</v>
      </c>
      <c r="E13" s="89">
        <v>170</v>
      </c>
      <c r="F13" s="89">
        <v>168</v>
      </c>
      <c r="G13" s="89">
        <v>166</v>
      </c>
      <c r="H13" s="89">
        <f>163+1</f>
        <v>164</v>
      </c>
      <c r="I13" s="89">
        <v>8504</v>
      </c>
      <c r="J13" s="89">
        <v>5643</v>
      </c>
      <c r="K13" s="89">
        <v>3452</v>
      </c>
      <c r="L13" s="56">
        <v>2687</v>
      </c>
      <c r="M13" s="5">
        <v>1961</v>
      </c>
      <c r="N13" s="40">
        <v>1265.636</v>
      </c>
      <c r="O13" s="5">
        <v>610</v>
      </c>
      <c r="P13" s="9" t="s">
        <v>23</v>
      </c>
      <c r="Q13" s="9" t="s">
        <v>23</v>
      </c>
      <c r="R13" s="9" t="s">
        <v>23</v>
      </c>
    </row>
    <row r="14" spans="1:20" x14ac:dyDescent="0.15">
      <c r="A14" s="75" t="s">
        <v>29</v>
      </c>
      <c r="B14" s="89">
        <f>250+14901</f>
        <v>15151</v>
      </c>
      <c r="C14" s="89">
        <f>234+15502</f>
        <v>15736</v>
      </c>
      <c r="D14" s="89">
        <v>17594</v>
      </c>
      <c r="E14" s="89">
        <f>20864+216</f>
        <v>21080</v>
      </c>
      <c r="F14" s="89">
        <f>33758+133</f>
        <v>33891</v>
      </c>
      <c r="G14" s="89">
        <f>45474+5372</f>
        <v>50846</v>
      </c>
      <c r="H14" s="89">
        <f>15048+1429</f>
        <v>16477</v>
      </c>
      <c r="I14" s="89">
        <v>9658</v>
      </c>
      <c r="J14" s="89">
        <v>9582</v>
      </c>
      <c r="K14" s="89">
        <v>6518</v>
      </c>
      <c r="L14" s="56">
        <v>11055</v>
      </c>
      <c r="M14" s="5">
        <v>9297</v>
      </c>
      <c r="N14" s="40">
        <v>49930</v>
      </c>
      <c r="O14" s="5">
        <v>15896</v>
      </c>
      <c r="P14" s="5">
        <v>5654</v>
      </c>
      <c r="Q14" s="5">
        <v>19957</v>
      </c>
      <c r="R14" s="5">
        <v>13485</v>
      </c>
    </row>
    <row r="15" spans="1:20" x14ac:dyDescent="0.15">
      <c r="A15" s="75" t="s">
        <v>3</v>
      </c>
      <c r="B15" s="89">
        <v>131547</v>
      </c>
      <c r="C15" s="89">
        <f>136359-679</f>
        <v>135680</v>
      </c>
      <c r="D15" s="89">
        <v>161683</v>
      </c>
      <c r="E15" s="89">
        <v>130558</v>
      </c>
      <c r="F15" s="89">
        <v>142353</v>
      </c>
      <c r="G15" s="89">
        <v>124642</v>
      </c>
      <c r="H15" s="89">
        <f>99651</f>
        <v>99651</v>
      </c>
      <c r="I15" s="89">
        <v>85080</v>
      </c>
      <c r="J15" s="89">
        <v>68527</v>
      </c>
      <c r="K15" s="89">
        <v>63419</v>
      </c>
      <c r="L15" s="56">
        <v>54460</v>
      </c>
      <c r="M15" s="5">
        <v>60000</v>
      </c>
      <c r="N15" s="40">
        <v>54878</v>
      </c>
      <c r="O15" s="5">
        <v>43519</v>
      </c>
      <c r="P15" s="22">
        <v>44873</v>
      </c>
      <c r="Q15" s="22">
        <v>47879</v>
      </c>
      <c r="R15" s="5">
        <v>45196</v>
      </c>
    </row>
    <row r="16" spans="1:20" x14ac:dyDescent="0.15">
      <c r="A16" s="75" t="s">
        <v>4</v>
      </c>
      <c r="B16" s="89">
        <f>-47496</f>
        <v>-47496</v>
      </c>
      <c r="C16" s="89">
        <f>-51768+204-5</f>
        <v>-51569</v>
      </c>
      <c r="D16" s="89">
        <v>-84853</v>
      </c>
      <c r="E16" s="89">
        <v>-55418</v>
      </c>
      <c r="F16" s="89">
        <v>-75535</v>
      </c>
      <c r="G16" s="89">
        <v>-68511</v>
      </c>
      <c r="H16" s="89">
        <v>-68796</v>
      </c>
      <c r="I16" s="89">
        <v>-67635</v>
      </c>
      <c r="J16" s="89">
        <v>-52483</v>
      </c>
      <c r="K16" s="89">
        <v>-57776</v>
      </c>
      <c r="L16" s="64">
        <v>-57545</v>
      </c>
      <c r="M16" s="7">
        <v>-66625</v>
      </c>
      <c r="N16" s="43">
        <v>-48165</v>
      </c>
      <c r="O16" s="7">
        <v>-35742.565000000002</v>
      </c>
      <c r="P16" s="20">
        <v>-38144</v>
      </c>
      <c r="Q16" s="20">
        <v>-46451</v>
      </c>
      <c r="R16" s="7">
        <v>-41751</v>
      </c>
    </row>
    <row r="17" spans="1:21" x14ac:dyDescent="0.15">
      <c r="A17" s="75" t="s">
        <v>5</v>
      </c>
      <c r="B17" s="135">
        <f t="shared" ref="B17" si="6">SUM(B11:B16)</f>
        <v>432006</v>
      </c>
      <c r="C17" s="135">
        <f t="shared" ref="C17:H17" si="7">SUM(C11:C16)</f>
        <v>438857</v>
      </c>
      <c r="D17" s="135">
        <f t="shared" si="7"/>
        <v>433748</v>
      </c>
      <c r="E17" s="135">
        <f t="shared" si="7"/>
        <v>435233</v>
      </c>
      <c r="F17" s="135">
        <f t="shared" si="7"/>
        <v>432557</v>
      </c>
      <c r="G17" s="135">
        <f t="shared" si="7"/>
        <v>366432</v>
      </c>
      <c r="H17" s="135">
        <f t="shared" si="7"/>
        <v>329913</v>
      </c>
      <c r="I17" s="135">
        <f>SUM(I11:I16)</f>
        <v>336714</v>
      </c>
      <c r="J17" s="135">
        <f t="shared" ref="J17:Q17" si="8">SUM(J11:J16)</f>
        <v>332934</v>
      </c>
      <c r="K17" s="135">
        <f t="shared" si="8"/>
        <v>319987</v>
      </c>
      <c r="L17" s="59">
        <f t="shared" si="8"/>
        <v>280954</v>
      </c>
      <c r="M17" s="44">
        <f t="shared" si="8"/>
        <v>275142.40899999999</v>
      </c>
      <c r="N17" s="44">
        <f t="shared" si="8"/>
        <v>284235.636</v>
      </c>
      <c r="O17" s="8">
        <f t="shared" si="8"/>
        <v>263256.435</v>
      </c>
      <c r="P17" s="11">
        <f t="shared" si="8"/>
        <v>264263</v>
      </c>
      <c r="Q17" s="11">
        <f t="shared" si="8"/>
        <v>265469</v>
      </c>
      <c r="R17" s="8">
        <v>266016</v>
      </c>
    </row>
    <row r="18" spans="1:21" x14ac:dyDescent="0.15">
      <c r="C18" s="53"/>
      <c r="E18" s="68"/>
      <c r="F18" s="68"/>
      <c r="G18" s="68"/>
      <c r="J18" s="53"/>
      <c r="K18" s="53"/>
      <c r="L18" s="57"/>
      <c r="N18" s="45"/>
      <c r="R18" s="5"/>
    </row>
    <row r="19" spans="1:21" x14ac:dyDescent="0.15">
      <c r="A19" s="3" t="s">
        <v>6</v>
      </c>
      <c r="B19" s="89">
        <v>80163</v>
      </c>
      <c r="C19" s="89">
        <v>80163</v>
      </c>
      <c r="D19" s="89">
        <v>80163</v>
      </c>
      <c r="E19" s="89">
        <v>80163</v>
      </c>
      <c r="F19" s="89">
        <v>80163</v>
      </c>
      <c r="G19" s="89">
        <v>80163</v>
      </c>
      <c r="H19" s="89">
        <f>80163</f>
        <v>80163</v>
      </c>
      <c r="I19" s="89">
        <v>80163</v>
      </c>
      <c r="J19" s="89">
        <v>80163</v>
      </c>
      <c r="K19" s="89">
        <v>80163</v>
      </c>
      <c r="L19" s="56">
        <v>80163</v>
      </c>
      <c r="M19" s="5">
        <v>80163</v>
      </c>
      <c r="N19" s="40">
        <v>80162.792000000001</v>
      </c>
      <c r="O19" s="5">
        <v>80163</v>
      </c>
      <c r="P19" s="5">
        <v>80163</v>
      </c>
      <c r="Q19" s="5">
        <v>80163</v>
      </c>
      <c r="R19" s="5">
        <v>80163</v>
      </c>
    </row>
    <row r="20" spans="1:21" x14ac:dyDescent="0.15">
      <c r="A20" s="3" t="s">
        <v>7</v>
      </c>
      <c r="B20" s="89">
        <v>150518</v>
      </c>
      <c r="C20" s="89">
        <f>135374</f>
        <v>135374</v>
      </c>
      <c r="D20" s="89">
        <v>130137</v>
      </c>
      <c r="E20" s="89">
        <v>123614</v>
      </c>
      <c r="F20" s="89">
        <v>109375</v>
      </c>
      <c r="G20" s="89">
        <v>84267</v>
      </c>
      <c r="H20" s="89">
        <f>76970</f>
        <v>76970</v>
      </c>
      <c r="I20" s="89">
        <f>69338</f>
        <v>69338</v>
      </c>
      <c r="J20" s="89">
        <v>63789</v>
      </c>
      <c r="K20" s="89">
        <v>58330</v>
      </c>
      <c r="L20" s="56">
        <v>53932</v>
      </c>
      <c r="M20" s="5">
        <v>46028</v>
      </c>
      <c r="N20" s="40">
        <v>49080.705000000002</v>
      </c>
      <c r="O20" s="5">
        <v>40831</v>
      </c>
      <c r="P20" s="5">
        <v>35038</v>
      </c>
      <c r="Q20" s="5">
        <v>30279</v>
      </c>
      <c r="R20" s="5">
        <v>24529</v>
      </c>
    </row>
    <row r="21" spans="1:21" x14ac:dyDescent="0.15">
      <c r="A21" s="117" t="s">
        <v>73</v>
      </c>
      <c r="B21" s="89">
        <f>30717+15351-552</f>
        <v>45516</v>
      </c>
      <c r="C21" s="89">
        <f>0+28204+15351</f>
        <v>43555</v>
      </c>
      <c r="D21" s="89">
        <f>4765+24695</f>
        <v>29460</v>
      </c>
      <c r="E21" s="89">
        <f>3430+21156-982</f>
        <v>23604</v>
      </c>
      <c r="F21" s="89">
        <f>4632+17771-982</f>
        <v>21421</v>
      </c>
      <c r="G21" s="89">
        <f>31535+9135</f>
        <v>40670</v>
      </c>
      <c r="H21" s="89">
        <f>9017+29876</f>
        <v>38893</v>
      </c>
      <c r="I21" s="89">
        <f>8828+29085</f>
        <v>37913</v>
      </c>
      <c r="J21" s="89">
        <f>8749+28428</f>
        <v>37177</v>
      </c>
      <c r="K21" s="89">
        <f>24547+7768</f>
        <v>32315</v>
      </c>
      <c r="L21" s="56">
        <f>22478+2850</f>
        <v>25328</v>
      </c>
      <c r="M21" s="54">
        <f>21695+2637</f>
        <v>24332</v>
      </c>
      <c r="N21" s="40">
        <f>22120.314+2395</f>
        <v>24515.313999999998</v>
      </c>
      <c r="O21" s="5">
        <v>25250</v>
      </c>
      <c r="P21" s="5">
        <v>24628</v>
      </c>
      <c r="Q21" s="5">
        <v>23708</v>
      </c>
      <c r="R21" s="5">
        <v>23761</v>
      </c>
    </row>
    <row r="22" spans="1:21" x14ac:dyDescent="0.15">
      <c r="A22" s="3" t="s">
        <v>8</v>
      </c>
      <c r="B22" s="89">
        <v>100181</v>
      </c>
      <c r="C22" s="89">
        <v>121713</v>
      </c>
      <c r="D22" s="89">
        <v>137726</v>
      </c>
      <c r="E22" s="89">
        <v>153072</v>
      </c>
      <c r="F22" s="89">
        <v>167797</v>
      </c>
      <c r="G22" s="89">
        <v>123396</v>
      </c>
      <c r="H22" s="89">
        <f>94709</f>
        <v>94709</v>
      </c>
      <c r="I22" s="89">
        <v>107848</v>
      </c>
      <c r="J22" s="89">
        <v>110754</v>
      </c>
      <c r="K22" s="89">
        <v>107288</v>
      </c>
      <c r="L22" s="56">
        <v>81360</v>
      </c>
      <c r="M22" s="5">
        <f>2918.706+3103.185+6339.433+4081.781+11245.04+11998.828+2321.267+42907.405</f>
        <v>84915.64499999999</v>
      </c>
      <c r="N22" s="40">
        <f>4527.983+3577.461+7245.067+6116.868+14162.862+200+16502.481+3517.318+32997.992</f>
        <v>88848.032000000007</v>
      </c>
      <c r="O22" s="5">
        <v>75927.267000000007</v>
      </c>
      <c r="P22" s="5">
        <v>83988</v>
      </c>
      <c r="Q22" s="5">
        <v>91983</v>
      </c>
      <c r="R22" s="5">
        <v>99216</v>
      </c>
    </row>
    <row r="23" spans="1:21" x14ac:dyDescent="0.15">
      <c r="A23" s="3" t="s">
        <v>30</v>
      </c>
      <c r="B23" s="89">
        <f>16442+33365+4035+1786</f>
        <v>55628</v>
      </c>
      <c r="C23" s="89">
        <f>16111+33942+6064+1935</f>
        <v>58052</v>
      </c>
      <c r="D23" s="89">
        <f>16135+1848+38279</f>
        <v>56262</v>
      </c>
      <c r="E23" s="89">
        <f>15545+1786+39449</f>
        <v>56780</v>
      </c>
      <c r="F23" s="89">
        <f>14771+37447+1878-295</f>
        <v>53801</v>
      </c>
      <c r="G23" s="89">
        <f>13871+1240+22826-1</f>
        <v>37936</v>
      </c>
      <c r="H23" s="89">
        <f>13402+1156+24619+1</f>
        <v>39178</v>
      </c>
      <c r="I23" s="89">
        <f>12667+27704+1081</f>
        <v>41452</v>
      </c>
      <c r="J23" s="89">
        <f>11682+28365+1004</f>
        <v>41051</v>
      </c>
      <c r="K23" s="89">
        <f>11311+30580</f>
        <v>41891</v>
      </c>
      <c r="L23" s="56">
        <f>10307+29864</f>
        <v>40171</v>
      </c>
      <c r="M23" s="5">
        <f>-1+39703+1</f>
        <v>39703</v>
      </c>
      <c r="N23" s="40">
        <f>41797.753-168.94</f>
        <v>41628.812999999995</v>
      </c>
      <c r="O23" s="5">
        <f>32083.597+9001.126</f>
        <v>41084.722999999998</v>
      </c>
      <c r="P23" s="11">
        <v>40446</v>
      </c>
      <c r="Q23" s="11">
        <v>39336</v>
      </c>
      <c r="R23" s="5">
        <v>38347</v>
      </c>
      <c r="S23" s="16"/>
    </row>
    <row r="24" spans="1:21" x14ac:dyDescent="0.15">
      <c r="A24" s="3" t="s">
        <v>5</v>
      </c>
      <c r="B24" s="135">
        <f t="shared" ref="B24" si="9">SUM(B19:B23)</f>
        <v>432006</v>
      </c>
      <c r="C24" s="135">
        <f t="shared" ref="C24:H24" si="10">SUM(C19:C23)</f>
        <v>438857</v>
      </c>
      <c r="D24" s="135">
        <f t="shared" si="10"/>
        <v>433748</v>
      </c>
      <c r="E24" s="135">
        <f t="shared" si="10"/>
        <v>437233</v>
      </c>
      <c r="F24" s="135">
        <f t="shared" si="10"/>
        <v>432557</v>
      </c>
      <c r="G24" s="135">
        <f t="shared" si="10"/>
        <v>366432</v>
      </c>
      <c r="H24" s="135">
        <f t="shared" si="10"/>
        <v>329913</v>
      </c>
      <c r="I24" s="135">
        <f t="shared" ref="I24:Q24" si="11">SUM(I19:I23)</f>
        <v>336714</v>
      </c>
      <c r="J24" s="135">
        <f t="shared" si="11"/>
        <v>332934</v>
      </c>
      <c r="K24" s="135">
        <f t="shared" si="11"/>
        <v>319987</v>
      </c>
      <c r="L24" s="59">
        <f t="shared" si="11"/>
        <v>280954</v>
      </c>
      <c r="M24" s="44">
        <f t="shared" si="11"/>
        <v>275141.64500000002</v>
      </c>
      <c r="N24" s="44">
        <f t="shared" si="11"/>
        <v>284235.65599999996</v>
      </c>
      <c r="O24" s="8">
        <f t="shared" si="11"/>
        <v>263255.99</v>
      </c>
      <c r="P24" s="8">
        <f t="shared" si="11"/>
        <v>264263</v>
      </c>
      <c r="Q24" s="8">
        <f t="shared" si="11"/>
        <v>265469</v>
      </c>
      <c r="R24" s="8">
        <v>266016</v>
      </c>
      <c r="S24" s="84"/>
    </row>
    <row r="25" spans="1:21" x14ac:dyDescent="0.15">
      <c r="B25" s="16"/>
      <c r="C25" s="127"/>
      <c r="D25" s="16"/>
      <c r="G25" s="68"/>
      <c r="J25" s="92"/>
      <c r="K25" s="92"/>
      <c r="L25" s="57"/>
      <c r="N25" s="45"/>
      <c r="R25" s="5"/>
    </row>
    <row r="26" spans="1:21" x14ac:dyDescent="0.15">
      <c r="A26" s="4" t="s">
        <v>9</v>
      </c>
      <c r="B26" s="120"/>
      <c r="C26" s="93"/>
      <c r="D26" s="120"/>
      <c r="E26" s="4"/>
      <c r="F26" s="4"/>
      <c r="G26" s="98"/>
      <c r="H26" s="95"/>
      <c r="I26" s="98"/>
      <c r="J26" s="93"/>
      <c r="K26" s="93"/>
      <c r="L26" s="58"/>
      <c r="M26" s="4"/>
      <c r="N26" s="42"/>
      <c r="O26" s="30"/>
      <c r="P26" s="3"/>
      <c r="Q26" s="3"/>
      <c r="R26" s="5"/>
    </row>
    <row r="27" spans="1:21" x14ac:dyDescent="0.15">
      <c r="A27" s="3"/>
      <c r="B27" s="7"/>
      <c r="C27" s="78"/>
      <c r="D27" s="3"/>
      <c r="E27" s="3"/>
      <c r="F27" s="3"/>
      <c r="G27" s="88"/>
      <c r="I27" s="102"/>
      <c r="J27" s="75"/>
      <c r="K27" s="94"/>
      <c r="L27" s="56"/>
      <c r="M27" s="3"/>
      <c r="N27" s="40"/>
      <c r="O27" s="5"/>
      <c r="P27" s="3"/>
      <c r="Q27" s="3"/>
      <c r="R27" s="5"/>
    </row>
    <row r="28" spans="1:21" x14ac:dyDescent="0.15">
      <c r="A28" s="4" t="s">
        <v>10</v>
      </c>
      <c r="B28" s="4"/>
      <c r="C28" s="95"/>
      <c r="D28" s="4"/>
      <c r="E28" s="4"/>
      <c r="F28" s="4"/>
      <c r="G28" s="98"/>
      <c r="H28" s="95"/>
      <c r="I28" s="98"/>
      <c r="J28" s="95"/>
      <c r="K28" s="95"/>
      <c r="L28" s="76"/>
      <c r="M28" s="4"/>
      <c r="N28" s="42"/>
      <c r="O28" s="30"/>
      <c r="P28" s="3"/>
      <c r="Q28" s="3"/>
      <c r="R28" s="5"/>
    </row>
    <row r="29" spans="1:21" x14ac:dyDescent="0.15">
      <c r="A29" s="3" t="s">
        <v>11</v>
      </c>
      <c r="B29" s="75"/>
      <c r="C29" s="75"/>
      <c r="D29" s="75"/>
      <c r="E29" s="3"/>
      <c r="F29" s="3"/>
      <c r="G29" s="88"/>
      <c r="I29" s="88"/>
      <c r="J29" s="75"/>
      <c r="K29" s="75"/>
      <c r="L29" s="56"/>
      <c r="M29" s="3"/>
      <c r="N29" s="40"/>
      <c r="O29" s="5"/>
      <c r="P29" s="3"/>
      <c r="Q29" s="3"/>
      <c r="R29" s="5"/>
    </row>
    <row r="30" spans="1:21" x14ac:dyDescent="0.15">
      <c r="A30" s="3" t="s">
        <v>12</v>
      </c>
      <c r="B30" s="89">
        <v>319001</v>
      </c>
      <c r="C30" s="89">
        <f>329767</f>
        <v>329767</v>
      </c>
      <c r="D30" s="89">
        <v>327570</v>
      </c>
      <c r="E30" s="89">
        <v>328735</v>
      </c>
      <c r="F30" s="89">
        <v>318265</v>
      </c>
      <c r="G30" s="89">
        <f>278312+1865</f>
        <v>280177</v>
      </c>
      <c r="H30" s="89">
        <f>247945</f>
        <v>247945</v>
      </c>
      <c r="I30" s="89">
        <v>236745</v>
      </c>
      <c r="J30" s="89">
        <v>243691</v>
      </c>
      <c r="K30" s="89">
        <v>230754</v>
      </c>
      <c r="L30" s="56">
        <v>191525</v>
      </c>
      <c r="M30" s="5">
        <v>113251</v>
      </c>
      <c r="N30" s="40">
        <v>111108</v>
      </c>
      <c r="O30" s="5">
        <v>103430</v>
      </c>
      <c r="P30" s="21">
        <v>98192</v>
      </c>
      <c r="Q30" s="21">
        <v>100450</v>
      </c>
      <c r="R30" s="5">
        <v>96501</v>
      </c>
      <c r="U30" s="63"/>
    </row>
    <row r="31" spans="1:21" x14ac:dyDescent="0.15">
      <c r="A31" s="3" t="s">
        <v>13</v>
      </c>
      <c r="B31" s="89">
        <v>-59115</v>
      </c>
      <c r="C31" s="89">
        <v>-20618</v>
      </c>
      <c r="D31" s="89">
        <v>-3671</v>
      </c>
      <c r="E31" s="89">
        <v>1172</v>
      </c>
      <c r="F31" s="89">
        <v>22083</v>
      </c>
      <c r="G31" s="89">
        <f>38985+200</f>
        <v>39185</v>
      </c>
      <c r="H31" s="89">
        <v>26908</v>
      </c>
      <c r="I31" s="89">
        <v>20</v>
      </c>
      <c r="J31" s="89">
        <v>57448</v>
      </c>
      <c r="K31" s="89">
        <f>10161+17</f>
        <v>10178</v>
      </c>
      <c r="L31" s="56">
        <v>34962</v>
      </c>
      <c r="M31" s="5">
        <v>88961</v>
      </c>
      <c r="N31" s="40">
        <f>59871.239+275.952</f>
        <v>60147.190999999999</v>
      </c>
      <c r="O31" s="5">
        <v>46110.167000000001</v>
      </c>
      <c r="P31" s="21">
        <v>35495</v>
      </c>
      <c r="Q31" s="21">
        <v>40492</v>
      </c>
      <c r="R31" s="5">
        <v>43773</v>
      </c>
    </row>
    <row r="32" spans="1:21" x14ac:dyDescent="0.15">
      <c r="A32" s="3" t="s">
        <v>14</v>
      </c>
      <c r="B32" s="88">
        <v>1984</v>
      </c>
      <c r="C32" s="88">
        <v>2624</v>
      </c>
      <c r="D32" s="88">
        <v>3662</v>
      </c>
      <c r="E32" s="56">
        <v>3207</v>
      </c>
      <c r="F32" s="56">
        <v>3677</v>
      </c>
      <c r="G32" s="88">
        <v>1657</v>
      </c>
      <c r="H32" s="111">
        <f>1417+1</f>
        <v>1418</v>
      </c>
      <c r="I32" s="88">
        <v>1926</v>
      </c>
      <c r="J32" s="91">
        <f>1082-1</f>
        <v>1081</v>
      </c>
      <c r="K32" s="88">
        <v>657</v>
      </c>
      <c r="L32" s="56">
        <v>943</v>
      </c>
      <c r="M32" s="3">
        <v>848</v>
      </c>
      <c r="N32" s="40">
        <v>544.68600000000004</v>
      </c>
      <c r="O32" s="5">
        <v>748.66</v>
      </c>
      <c r="P32" s="23">
        <v>481</v>
      </c>
      <c r="Q32" s="23">
        <v>842</v>
      </c>
      <c r="R32" s="5">
        <v>837</v>
      </c>
    </row>
    <row r="33" spans="1:22" x14ac:dyDescent="0.15">
      <c r="A33" s="3" t="s">
        <v>5</v>
      </c>
      <c r="B33" s="135">
        <f t="shared" ref="B33" si="12">SUM(B30:B32)</f>
        <v>261870</v>
      </c>
      <c r="C33" s="135">
        <f t="shared" ref="C33:H33" si="13">SUM(C30:C32)</f>
        <v>311773</v>
      </c>
      <c r="D33" s="135">
        <f t="shared" si="13"/>
        <v>327561</v>
      </c>
      <c r="E33" s="135">
        <f t="shared" si="13"/>
        <v>333114</v>
      </c>
      <c r="F33" s="135">
        <f t="shared" si="13"/>
        <v>344025</v>
      </c>
      <c r="G33" s="135">
        <f t="shared" si="13"/>
        <v>321019</v>
      </c>
      <c r="H33" s="135">
        <f t="shared" si="13"/>
        <v>276271</v>
      </c>
      <c r="I33" s="135">
        <f t="shared" ref="I33:Q33" si="14">SUM(I30:I32)</f>
        <v>238691</v>
      </c>
      <c r="J33" s="135">
        <f t="shared" si="14"/>
        <v>302220</v>
      </c>
      <c r="K33" s="135">
        <f t="shared" si="14"/>
        <v>241589</v>
      </c>
      <c r="L33" s="59">
        <f t="shared" si="14"/>
        <v>227430</v>
      </c>
      <c r="M33" s="47">
        <f t="shared" si="14"/>
        <v>203060</v>
      </c>
      <c r="N33" s="47">
        <f t="shared" si="14"/>
        <v>171799.87699999998</v>
      </c>
      <c r="O33" s="24">
        <f t="shared" si="14"/>
        <v>150288.82700000002</v>
      </c>
      <c r="P33" s="24">
        <f t="shared" si="14"/>
        <v>134168</v>
      </c>
      <c r="Q33" s="24">
        <f t="shared" si="14"/>
        <v>141784</v>
      </c>
      <c r="R33" s="8">
        <v>141111</v>
      </c>
    </row>
    <row r="34" spans="1:22" x14ac:dyDescent="0.15">
      <c r="C34" s="53"/>
      <c r="G34" s="68"/>
      <c r="J34" s="53"/>
      <c r="K34" s="53"/>
      <c r="L34" s="57"/>
      <c r="N34" s="45"/>
      <c r="P34" s="33"/>
      <c r="Q34" s="33"/>
      <c r="R34" s="5"/>
    </row>
    <row r="35" spans="1:22" x14ac:dyDescent="0.15">
      <c r="A35" s="3"/>
      <c r="B35" s="3"/>
      <c r="C35" s="75"/>
      <c r="D35" s="3"/>
      <c r="E35" s="3"/>
      <c r="F35" s="3"/>
      <c r="G35" s="88"/>
      <c r="I35" s="88"/>
      <c r="J35" s="75"/>
      <c r="K35" s="75"/>
      <c r="L35" s="56"/>
      <c r="M35" s="3"/>
      <c r="N35" s="40"/>
      <c r="O35" s="5"/>
      <c r="P35" s="34"/>
      <c r="Q35" s="34"/>
      <c r="R35" s="5"/>
    </row>
    <row r="36" spans="1:22" x14ac:dyDescent="0.15">
      <c r="A36" s="4" t="s">
        <v>15</v>
      </c>
      <c r="B36" s="4"/>
      <c r="C36" s="95"/>
      <c r="D36" s="4"/>
      <c r="E36" s="4"/>
      <c r="F36" s="4"/>
      <c r="G36" s="98"/>
      <c r="H36" s="95"/>
      <c r="I36" s="98"/>
      <c r="J36" s="95"/>
      <c r="K36" s="95"/>
      <c r="L36" s="58"/>
      <c r="M36" s="4"/>
      <c r="N36" s="42"/>
      <c r="O36" s="30"/>
      <c r="P36" s="21"/>
      <c r="Q36" s="21"/>
      <c r="R36" s="5"/>
    </row>
    <row r="37" spans="1:22" x14ac:dyDescent="0.15">
      <c r="A37" s="3"/>
      <c r="B37" s="3"/>
      <c r="C37" s="75"/>
      <c r="D37" s="3"/>
      <c r="E37" s="3"/>
      <c r="F37" s="3"/>
      <c r="G37" s="88"/>
      <c r="I37" s="88"/>
      <c r="J37" s="78"/>
      <c r="K37" s="78"/>
      <c r="L37" s="7"/>
      <c r="M37" s="7"/>
      <c r="N37" s="7"/>
      <c r="O37" s="7"/>
      <c r="P37" s="21"/>
      <c r="Q37" s="21"/>
      <c r="R37" s="5"/>
    </row>
    <row r="38" spans="1:22" x14ac:dyDescent="0.15">
      <c r="A38" s="112" t="s">
        <v>74</v>
      </c>
      <c r="B38" s="89">
        <v>114854</v>
      </c>
      <c r="C38" s="89">
        <v>172061</v>
      </c>
      <c r="D38" s="89">
        <v>190235</v>
      </c>
      <c r="E38" s="89">
        <f>194450+1348</f>
        <v>195798</v>
      </c>
      <c r="F38" s="89">
        <f>187236+22074</f>
        <v>209310</v>
      </c>
      <c r="G38" s="89">
        <f>145398+40335</f>
        <v>185733</v>
      </c>
      <c r="H38" s="89">
        <f>114729+27742</f>
        <v>142471</v>
      </c>
      <c r="I38" s="89">
        <v>108998</v>
      </c>
      <c r="J38" s="89">
        <f>124824+57914</f>
        <v>182738</v>
      </c>
      <c r="K38" s="89">
        <f>113029+10846</f>
        <v>123875</v>
      </c>
      <c r="L38" s="56">
        <f>34712+84647</f>
        <v>119359</v>
      </c>
      <c r="M38" s="5">
        <f>89190+5827</f>
        <v>95017</v>
      </c>
      <c r="N38" s="40"/>
      <c r="O38" s="5"/>
      <c r="P38" s="21"/>
      <c r="Q38" s="21"/>
      <c r="R38" s="5"/>
    </row>
    <row r="39" spans="1:22" x14ac:dyDescent="0.15">
      <c r="A39" s="112" t="s">
        <v>75</v>
      </c>
      <c r="B39" s="89">
        <f>21364-11375</f>
        <v>9989</v>
      </c>
      <c r="C39" s="89">
        <f>21953-11010</f>
        <v>10943</v>
      </c>
      <c r="D39" s="89">
        <f>21061-11113</f>
        <v>9948</v>
      </c>
      <c r="E39" s="89">
        <f>22653-11945</f>
        <v>10708</v>
      </c>
      <c r="F39" s="89">
        <f>26892-15974</f>
        <v>10918</v>
      </c>
      <c r="G39" s="89">
        <f>25443+1550-16406</f>
        <v>10587</v>
      </c>
      <c r="H39" s="89">
        <f>124134-1-114729</f>
        <v>9404</v>
      </c>
      <c r="I39" s="89">
        <f>132788-14997-108998</f>
        <v>8793</v>
      </c>
      <c r="J39" s="89">
        <f>147522-13579-124824</f>
        <v>9119</v>
      </c>
      <c r="K39" s="89">
        <f>18833+1000-11545</f>
        <v>8288</v>
      </c>
      <c r="L39" s="56">
        <f>102386-10882-84647</f>
        <v>6857</v>
      </c>
      <c r="M39" s="5">
        <f>24237.909-10556.002-5826</f>
        <v>7855.9069999999992</v>
      </c>
      <c r="N39" s="40">
        <f>24464.4-9262.396</f>
        <v>15202.004000000001</v>
      </c>
      <c r="O39" s="5">
        <f>22550.134-8466.137</f>
        <v>14083.996999999998</v>
      </c>
      <c r="P39" s="21">
        <v>13208</v>
      </c>
      <c r="Q39" s="21">
        <f>23001-8503</f>
        <v>14498</v>
      </c>
      <c r="R39" s="5">
        <v>12459</v>
      </c>
      <c r="S39" s="63"/>
    </row>
    <row r="40" spans="1:22" ht="15.75" customHeight="1" x14ac:dyDescent="0.15">
      <c r="A40" s="75" t="s">
        <v>16</v>
      </c>
      <c r="B40" s="89">
        <f>39246-21066</f>
        <v>18180</v>
      </c>
      <c r="C40" s="89">
        <f>35684-20305</f>
        <v>15379</v>
      </c>
      <c r="D40" s="89">
        <f>34609-19191</f>
        <v>15418</v>
      </c>
      <c r="E40" s="89">
        <f>34607-18077</f>
        <v>16530</v>
      </c>
      <c r="F40" s="89">
        <f>31219-15441</f>
        <v>15778</v>
      </c>
      <c r="G40" s="89">
        <f>35571-16253</f>
        <v>19318</v>
      </c>
      <c r="H40" s="89">
        <v>17618</v>
      </c>
      <c r="I40" s="89">
        <v>20557</v>
      </c>
      <c r="J40" s="89">
        <f>30869-14268</f>
        <v>16601</v>
      </c>
      <c r="K40" s="89">
        <f>30401-13591</f>
        <v>16810</v>
      </c>
      <c r="L40" s="56">
        <f>27800-12912</f>
        <v>14888</v>
      </c>
      <c r="M40" s="5">
        <v>14080</v>
      </c>
      <c r="N40" s="40">
        <f>23421.432-11619.55</f>
        <v>11801.882000000001</v>
      </c>
      <c r="O40" s="5">
        <f>23885.896-11079.941</f>
        <v>12805.955</v>
      </c>
      <c r="P40" s="21">
        <v>12519</v>
      </c>
      <c r="Q40" s="21">
        <v>11925</v>
      </c>
      <c r="R40" s="5">
        <v>12373</v>
      </c>
      <c r="S40" s="63"/>
    </row>
    <row r="41" spans="1:22" x14ac:dyDescent="0.15">
      <c r="A41" s="75" t="s">
        <v>17</v>
      </c>
      <c r="B41" s="89">
        <f>31389-2279-669</f>
        <v>28441</v>
      </c>
      <c r="C41" s="89">
        <f>31640-2314-672</f>
        <v>28654</v>
      </c>
      <c r="D41" s="89">
        <f>33355-2846</f>
        <v>30509</v>
      </c>
      <c r="E41" s="89">
        <f>31426-2634-100+734</f>
        <v>29426</v>
      </c>
      <c r="F41" s="89">
        <f>28496-1211+1</f>
        <v>27286</v>
      </c>
      <c r="G41" s="89">
        <f>27754-1606</f>
        <v>26148</v>
      </c>
      <c r="H41" s="89">
        <v>24784</v>
      </c>
      <c r="I41" s="89">
        <f>24916-453-1197</f>
        <v>23266</v>
      </c>
      <c r="J41" s="89">
        <v>22167</v>
      </c>
      <c r="K41" s="89">
        <f>16601+6333-2035-2+503-220</f>
        <v>21180</v>
      </c>
      <c r="L41" s="56">
        <v>19596</v>
      </c>
      <c r="M41" s="5">
        <f>22053+1299</f>
        <v>23352</v>
      </c>
      <c r="N41" s="40">
        <v>18407</v>
      </c>
      <c r="O41" s="5">
        <v>19486</v>
      </c>
      <c r="P41" s="21">
        <v>20344</v>
      </c>
      <c r="Q41" s="21">
        <v>18305</v>
      </c>
      <c r="R41" s="5">
        <v>16356</v>
      </c>
    </row>
    <row r="42" spans="1:22" x14ac:dyDescent="0.15">
      <c r="A42" s="112" t="s">
        <v>69</v>
      </c>
      <c r="B42" s="89">
        <f>11375+21066+2279+669</f>
        <v>35389</v>
      </c>
      <c r="C42" s="89">
        <f>11010+20305+2314+672</f>
        <v>34301</v>
      </c>
      <c r="D42" s="89">
        <f>11113+19191+2846</f>
        <v>33150</v>
      </c>
      <c r="E42" s="89">
        <f>11945+18077+2634</f>
        <v>32656</v>
      </c>
      <c r="F42" s="89">
        <v>32625</v>
      </c>
      <c r="G42" s="89">
        <v>34264</v>
      </c>
      <c r="H42" s="89">
        <v>34314</v>
      </c>
      <c r="I42" s="89">
        <f>30741+1091</f>
        <v>31832</v>
      </c>
      <c r="J42" s="89">
        <v>29468</v>
      </c>
      <c r="K42" s="89">
        <v>27171</v>
      </c>
      <c r="L42" s="56">
        <v>24763</v>
      </c>
      <c r="M42" s="5">
        <v>23884.782999999999</v>
      </c>
      <c r="N42" s="40">
        <v>21905</v>
      </c>
      <c r="O42" s="5">
        <v>20493.203000000001</v>
      </c>
      <c r="P42" s="23">
        <v>19608</v>
      </c>
      <c r="Q42" s="23">
        <v>18893</v>
      </c>
      <c r="R42" s="5">
        <v>17639</v>
      </c>
      <c r="U42" s="63"/>
    </row>
    <row r="43" spans="1:22" x14ac:dyDescent="0.15">
      <c r="A43" s="75" t="s">
        <v>5</v>
      </c>
      <c r="B43" s="135">
        <f>SUM(B38:B42)</f>
        <v>206853</v>
      </c>
      <c r="C43" s="135">
        <f>SUM(C38:C42)</f>
        <v>261338</v>
      </c>
      <c r="D43" s="135">
        <f>SUM(D38:D42)</f>
        <v>279260</v>
      </c>
      <c r="E43" s="135">
        <f t="shared" ref="E43:M43" si="15">SUM(E38:E42)</f>
        <v>285118</v>
      </c>
      <c r="F43" s="135">
        <f t="shared" si="15"/>
        <v>295917</v>
      </c>
      <c r="G43" s="135">
        <f t="shared" si="15"/>
        <v>276050</v>
      </c>
      <c r="H43" s="135">
        <f t="shared" si="15"/>
        <v>228591</v>
      </c>
      <c r="I43" s="135">
        <f t="shared" si="15"/>
        <v>193446</v>
      </c>
      <c r="J43" s="135">
        <f t="shared" si="15"/>
        <v>260093</v>
      </c>
      <c r="K43" s="135">
        <f t="shared" si="15"/>
        <v>197324</v>
      </c>
      <c r="L43" s="90">
        <f t="shared" si="15"/>
        <v>185463</v>
      </c>
      <c r="M43" s="90">
        <f t="shared" si="15"/>
        <v>164189.69</v>
      </c>
      <c r="N43" s="47">
        <f>SUM(N39:N42)</f>
        <v>67315.885999999999</v>
      </c>
      <c r="O43" s="24">
        <f>SUM(O39:O42)</f>
        <v>66869.154999999999</v>
      </c>
      <c r="P43" s="23">
        <f>SUM(P39:P42)</f>
        <v>65679</v>
      </c>
      <c r="Q43" s="23">
        <f>SUM(Q39:Q42)</f>
        <v>63621</v>
      </c>
      <c r="R43" s="8">
        <v>102116</v>
      </c>
    </row>
    <row r="44" spans="1:22" x14ac:dyDescent="0.15">
      <c r="A44" s="53"/>
      <c r="B44" s="92"/>
      <c r="C44" s="92"/>
      <c r="D44" s="92"/>
      <c r="E44" s="92"/>
      <c r="F44" s="92"/>
      <c r="G44" s="92"/>
      <c r="H44" s="92"/>
      <c r="I44" s="92"/>
      <c r="J44" s="92"/>
      <c r="K44" s="92"/>
      <c r="N44" s="45"/>
      <c r="R44" s="5"/>
    </row>
    <row r="45" spans="1:22" x14ac:dyDescent="0.15">
      <c r="A45" s="75" t="s">
        <v>18</v>
      </c>
      <c r="B45" s="136">
        <f t="shared" ref="B45:G45" si="16">B33-B43</f>
        <v>55017</v>
      </c>
      <c r="C45" s="136">
        <f t="shared" si="16"/>
        <v>50435</v>
      </c>
      <c r="D45" s="136">
        <f t="shared" si="16"/>
        <v>48301</v>
      </c>
      <c r="E45" s="136">
        <f t="shared" si="16"/>
        <v>47996</v>
      </c>
      <c r="F45" s="136">
        <f t="shared" si="16"/>
        <v>48108</v>
      </c>
      <c r="G45" s="136">
        <f t="shared" si="16"/>
        <v>44969</v>
      </c>
      <c r="H45" s="136">
        <f>47679+1</f>
        <v>47680</v>
      </c>
      <c r="I45" s="136">
        <v>45245</v>
      </c>
      <c r="J45" s="136">
        <v>42127</v>
      </c>
      <c r="K45" s="136">
        <f>K33-K43</f>
        <v>44265</v>
      </c>
      <c r="L45" s="60">
        <v>41967</v>
      </c>
      <c r="M45" s="46">
        <v>38870</v>
      </c>
      <c r="N45" s="40">
        <v>44370</v>
      </c>
      <c r="O45" s="5">
        <v>37750</v>
      </c>
      <c r="P45" s="5">
        <v>32816</v>
      </c>
      <c r="Q45" s="5">
        <f>+Q33-Q43</f>
        <v>78163</v>
      </c>
      <c r="R45" s="5">
        <v>38995</v>
      </c>
      <c r="S45" s="63">
        <f>H33-H43</f>
        <v>47680</v>
      </c>
      <c r="U45" s="63"/>
      <c r="V45" s="63"/>
    </row>
    <row r="46" spans="1:22" x14ac:dyDescent="0.15">
      <c r="A46" s="112" t="s">
        <v>85</v>
      </c>
      <c r="B46" s="136">
        <f>8353-727</f>
        <v>7626</v>
      </c>
      <c r="C46" s="136">
        <f>11820-1031</f>
        <v>10789</v>
      </c>
      <c r="D46" s="136">
        <v>11368</v>
      </c>
      <c r="E46" s="136">
        <f>13190-27</f>
        <v>13163</v>
      </c>
      <c r="F46" s="136">
        <v>9389</v>
      </c>
      <c r="G46" s="136">
        <v>8761</v>
      </c>
      <c r="H46" s="136">
        <v>7618</v>
      </c>
      <c r="I46" s="136">
        <v>6915</v>
      </c>
      <c r="J46" s="136">
        <v>8997</v>
      </c>
      <c r="K46" s="136">
        <f>7507-306</f>
        <v>7201</v>
      </c>
      <c r="L46" s="56">
        <v>7131</v>
      </c>
      <c r="M46" s="5">
        <v>6074</v>
      </c>
      <c r="N46" s="40">
        <v>5685.9740000000002</v>
      </c>
      <c r="O46" s="5">
        <v>7344.3119999999999</v>
      </c>
      <c r="P46" s="5">
        <v>8805</v>
      </c>
      <c r="Q46" s="5">
        <v>9360</v>
      </c>
      <c r="R46" s="5">
        <v>7574</v>
      </c>
    </row>
    <row r="47" spans="1:22" x14ac:dyDescent="0.15">
      <c r="A47" s="112" t="s">
        <v>87</v>
      </c>
      <c r="B47" s="96">
        <v>-45</v>
      </c>
      <c r="C47" s="96">
        <v>-307</v>
      </c>
      <c r="D47" s="96">
        <v>-67</v>
      </c>
      <c r="E47" s="96">
        <v>-66</v>
      </c>
      <c r="F47" s="96">
        <v>-67</v>
      </c>
      <c r="G47" s="96">
        <v>-66</v>
      </c>
      <c r="H47" s="96">
        <v>-296</v>
      </c>
      <c r="I47" s="96">
        <v>-636</v>
      </c>
      <c r="J47" s="96">
        <v>-462</v>
      </c>
      <c r="K47" s="96">
        <v>-151</v>
      </c>
      <c r="L47" s="62">
        <v>-503</v>
      </c>
      <c r="M47" s="5">
        <v>115.768</v>
      </c>
      <c r="N47" s="48">
        <v>15.484999999999999</v>
      </c>
      <c r="O47" s="7">
        <v>288.39999999999998</v>
      </c>
      <c r="P47" s="25">
        <v>-37</v>
      </c>
      <c r="Q47" s="25" t="s">
        <v>23</v>
      </c>
      <c r="R47" s="6" t="s">
        <v>23</v>
      </c>
    </row>
    <row r="48" spans="1:22" x14ac:dyDescent="0.15">
      <c r="A48" s="75" t="s">
        <v>31</v>
      </c>
      <c r="B48" s="136">
        <f t="shared" ref="B48:C48" si="17">B45-B46-B47</f>
        <v>47436</v>
      </c>
      <c r="C48" s="136">
        <f t="shared" si="17"/>
        <v>39953</v>
      </c>
      <c r="D48" s="136">
        <f t="shared" ref="D48:F48" si="18">D45-D46-D47</f>
        <v>37000</v>
      </c>
      <c r="E48" s="136">
        <f t="shared" si="18"/>
        <v>34899</v>
      </c>
      <c r="F48" s="136">
        <f t="shared" si="18"/>
        <v>38786</v>
      </c>
      <c r="G48" s="136">
        <f t="shared" ref="G48:L48" si="19">G45-G46-G47</f>
        <v>36274</v>
      </c>
      <c r="H48" s="136">
        <f t="shared" si="19"/>
        <v>40358</v>
      </c>
      <c r="I48" s="136">
        <f t="shared" si="19"/>
        <v>38966</v>
      </c>
      <c r="J48" s="136">
        <f t="shared" si="19"/>
        <v>33592</v>
      </c>
      <c r="K48" s="136">
        <f t="shared" si="19"/>
        <v>37215</v>
      </c>
      <c r="L48" s="63">
        <f t="shared" si="19"/>
        <v>35339</v>
      </c>
      <c r="M48" s="52">
        <f>+M45-M46-M47</f>
        <v>32680.232</v>
      </c>
      <c r="N48" s="49">
        <f>+N45-N46-N47</f>
        <v>38668.540999999997</v>
      </c>
      <c r="O48" s="10">
        <f>+O45-O46-O47</f>
        <v>30117.288</v>
      </c>
      <c r="P48" s="10">
        <f>+P45-P46-P47</f>
        <v>24048</v>
      </c>
      <c r="Q48" s="10">
        <f>+Q45-Q46</f>
        <v>68803</v>
      </c>
      <c r="R48" s="10">
        <v>31421</v>
      </c>
    </row>
    <row r="49" spans="1:20" x14ac:dyDescent="0.15">
      <c r="A49" s="75" t="s">
        <v>19</v>
      </c>
      <c r="B49" s="96">
        <v>13468</v>
      </c>
      <c r="C49" s="96">
        <f>11248-204</f>
        <v>11044</v>
      </c>
      <c r="D49" s="96">
        <v>10192</v>
      </c>
      <c r="E49" s="96">
        <f>9715-131</f>
        <v>9584</v>
      </c>
      <c r="F49" s="96">
        <v>9972</v>
      </c>
      <c r="G49" s="96">
        <v>10003</v>
      </c>
      <c r="H49" s="96">
        <f>11138</f>
        <v>11138</v>
      </c>
      <c r="I49" s="96">
        <v>11151</v>
      </c>
      <c r="J49" s="96">
        <v>11049</v>
      </c>
      <c r="K49" s="96">
        <f>9059+66</f>
        <v>9125</v>
      </c>
      <c r="L49" s="61">
        <v>8585</v>
      </c>
      <c r="M49" s="11">
        <f>-2567.388+9650.147</f>
        <v>7082.7590000000009</v>
      </c>
      <c r="N49" s="48">
        <f>10420.25+207.809</f>
        <v>10628.058999999999</v>
      </c>
      <c r="O49" s="11">
        <v>10501</v>
      </c>
      <c r="P49" s="11">
        <v>7747</v>
      </c>
      <c r="Q49" s="11">
        <v>8968</v>
      </c>
      <c r="R49" s="11">
        <v>10294</v>
      </c>
    </row>
    <row r="50" spans="1:20" x14ac:dyDescent="0.15">
      <c r="A50" s="75" t="s">
        <v>32</v>
      </c>
      <c r="B50" s="136">
        <f t="shared" ref="B50:G50" si="20">B48-B49</f>
        <v>33968</v>
      </c>
      <c r="C50" s="136">
        <f t="shared" si="20"/>
        <v>28909</v>
      </c>
      <c r="D50" s="136">
        <f t="shared" si="20"/>
        <v>26808</v>
      </c>
      <c r="E50" s="136">
        <f t="shared" si="20"/>
        <v>25315</v>
      </c>
      <c r="F50" s="136">
        <f t="shared" si="20"/>
        <v>28814</v>
      </c>
      <c r="G50" s="136">
        <f t="shared" si="20"/>
        <v>26271</v>
      </c>
      <c r="H50" s="136">
        <f t="shared" ref="H50:L50" si="21">H48-H49</f>
        <v>29220</v>
      </c>
      <c r="I50" s="136">
        <f t="shared" si="21"/>
        <v>27815</v>
      </c>
      <c r="J50" s="136">
        <f t="shared" si="21"/>
        <v>22543</v>
      </c>
      <c r="K50" s="136">
        <f t="shared" si="21"/>
        <v>28090</v>
      </c>
      <c r="L50" s="56">
        <f t="shared" si="21"/>
        <v>26754</v>
      </c>
      <c r="M50" s="5">
        <f>+M48-M49</f>
        <v>25597.472999999998</v>
      </c>
      <c r="N50" s="46">
        <v>28124</v>
      </c>
      <c r="O50" s="5">
        <f>+O48-O49</f>
        <v>19616.288</v>
      </c>
      <c r="P50" s="5">
        <f>+P48-P49</f>
        <v>16301</v>
      </c>
      <c r="Q50" s="5">
        <f>+Q48-Q49</f>
        <v>59835</v>
      </c>
      <c r="R50" s="5">
        <v>21127</v>
      </c>
    </row>
    <row r="51" spans="1:20" x14ac:dyDescent="0.15">
      <c r="A51" s="75" t="s">
        <v>67</v>
      </c>
      <c r="B51" s="136">
        <v>1567</v>
      </c>
      <c r="C51" s="136">
        <v>-6719</v>
      </c>
      <c r="D51" s="136">
        <v>1615</v>
      </c>
      <c r="E51" s="136">
        <v>-872</v>
      </c>
      <c r="F51" s="136">
        <v>856</v>
      </c>
      <c r="G51" s="136">
        <v>-192</v>
      </c>
      <c r="H51" s="136">
        <v>-178</v>
      </c>
      <c r="I51" s="136">
        <v>-239</v>
      </c>
      <c r="J51" s="136">
        <v>48</v>
      </c>
      <c r="K51" s="141" t="s">
        <v>23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</row>
    <row r="52" spans="1:20" x14ac:dyDescent="0.15">
      <c r="A52" s="75" t="s">
        <v>33</v>
      </c>
      <c r="B52" s="96">
        <v>17878</v>
      </c>
      <c r="C52" s="96">
        <v>17190</v>
      </c>
      <c r="D52" s="96">
        <v>16044</v>
      </c>
      <c r="E52" s="96">
        <v>8022</v>
      </c>
      <c r="F52" s="96">
        <v>17648</v>
      </c>
      <c r="G52" s="96">
        <v>18107</v>
      </c>
      <c r="H52" s="96">
        <v>18666</v>
      </c>
      <c r="I52" s="96">
        <v>17228.400000000001</v>
      </c>
      <c r="J52" s="96">
        <v>15705</v>
      </c>
      <c r="K52" s="96">
        <v>16642</v>
      </c>
      <c r="L52" s="61">
        <v>16642</v>
      </c>
      <c r="M52" s="11">
        <v>15715</v>
      </c>
      <c r="N52" s="48">
        <v>19461.947</v>
      </c>
      <c r="O52" s="11">
        <v>13360.8</v>
      </c>
      <c r="P52" s="11">
        <v>11104.965</v>
      </c>
      <c r="Q52" s="11">
        <v>13478</v>
      </c>
      <c r="R52" s="11">
        <v>14711</v>
      </c>
    </row>
    <row r="53" spans="1:20" x14ac:dyDescent="0.15">
      <c r="A53" s="75" t="s">
        <v>34</v>
      </c>
      <c r="B53" s="89">
        <f t="shared" ref="B53:G53" si="22">B50+B51-B52</f>
        <v>17657</v>
      </c>
      <c r="C53" s="89">
        <f t="shared" si="22"/>
        <v>5000</v>
      </c>
      <c r="D53" s="89">
        <f t="shared" si="22"/>
        <v>12379</v>
      </c>
      <c r="E53" s="89">
        <f t="shared" si="22"/>
        <v>16421</v>
      </c>
      <c r="F53" s="89">
        <f t="shared" si="22"/>
        <v>12022</v>
      </c>
      <c r="G53" s="89">
        <f t="shared" si="22"/>
        <v>7972</v>
      </c>
      <c r="H53" s="89">
        <f>H50+H51-H52</f>
        <v>10376</v>
      </c>
      <c r="I53" s="89">
        <f>I50+I51-I52</f>
        <v>10347.599999999999</v>
      </c>
      <c r="J53" s="89">
        <f>J50+J51-J52</f>
        <v>6886</v>
      </c>
      <c r="K53" s="89">
        <f>K50-K52</f>
        <v>11448</v>
      </c>
      <c r="L53" s="56">
        <f>L50-L52</f>
        <v>10112</v>
      </c>
      <c r="M53" s="46">
        <f>+M50-M52</f>
        <v>9882.4729999999981</v>
      </c>
      <c r="N53" s="46">
        <f>+N50-N52</f>
        <v>8662.0529999999999</v>
      </c>
      <c r="O53" s="5">
        <f>+O50-O52</f>
        <v>6255.4880000000012</v>
      </c>
      <c r="P53" s="5">
        <f>+P50-P52</f>
        <v>5196.0349999999999</v>
      </c>
      <c r="Q53" s="5">
        <f>+Q50-Q52</f>
        <v>46357</v>
      </c>
      <c r="R53" s="5">
        <v>6416</v>
      </c>
    </row>
    <row r="54" spans="1:20" x14ac:dyDescent="0.15">
      <c r="A54" s="75" t="s">
        <v>35</v>
      </c>
      <c r="B54" s="89">
        <f>C58</f>
        <v>135374</v>
      </c>
      <c r="C54" s="89">
        <f>D58</f>
        <v>130137</v>
      </c>
      <c r="D54" s="89">
        <f>E58</f>
        <v>123614</v>
      </c>
      <c r="E54" s="89">
        <f>F58</f>
        <v>109375</v>
      </c>
      <c r="F54" s="89">
        <f>G58</f>
        <v>84267</v>
      </c>
      <c r="G54" s="89">
        <v>76970</v>
      </c>
      <c r="H54" s="89">
        <v>69338</v>
      </c>
      <c r="I54" s="89">
        <v>62282</v>
      </c>
      <c r="J54" s="89">
        <f t="shared" ref="J54:K54" si="23">K58</f>
        <v>57061</v>
      </c>
      <c r="K54" s="89">
        <f t="shared" si="23"/>
        <v>52303</v>
      </c>
      <c r="L54" s="56">
        <v>45924</v>
      </c>
      <c r="M54" s="5">
        <v>49081</v>
      </c>
      <c r="N54" s="40">
        <v>40831</v>
      </c>
      <c r="O54" s="5">
        <v>35038.383000000002</v>
      </c>
      <c r="P54" s="5">
        <v>30279</v>
      </c>
      <c r="Q54" s="5">
        <v>24529</v>
      </c>
      <c r="R54" s="5">
        <v>18187</v>
      </c>
    </row>
    <row r="55" spans="1:20" x14ac:dyDescent="0.15">
      <c r="A55" s="125" t="s">
        <v>88</v>
      </c>
      <c r="B55" s="89">
        <v>-2513</v>
      </c>
      <c r="C55" s="89">
        <f>3707-3510</f>
        <v>197</v>
      </c>
      <c r="D55" s="89">
        <f>-2317-3539</f>
        <v>-5856</v>
      </c>
      <c r="E55" s="89">
        <f>1202-3384</f>
        <v>-2182</v>
      </c>
      <c r="F55" s="89">
        <f>-1515-3524</f>
        <v>-5039</v>
      </c>
      <c r="G55" s="89">
        <v>-118</v>
      </c>
      <c r="H55" s="89">
        <v>-189</v>
      </c>
      <c r="I55" s="89">
        <v>-79</v>
      </c>
      <c r="J55" s="89">
        <f>-574-505+98</f>
        <v>-981</v>
      </c>
      <c r="K55" s="89">
        <f>-424-220</f>
        <v>-644</v>
      </c>
      <c r="L55" s="56">
        <f>850-213-1</f>
        <v>636</v>
      </c>
      <c r="M55" s="7">
        <v>-242</v>
      </c>
      <c r="N55" s="43">
        <v>-412</v>
      </c>
      <c r="O55" s="7">
        <v>-463</v>
      </c>
      <c r="P55" s="29">
        <v>-437</v>
      </c>
      <c r="Q55" s="29">
        <v>-240</v>
      </c>
      <c r="R55" s="7">
        <v>-74</v>
      </c>
    </row>
    <row r="56" spans="1:20" x14ac:dyDescent="0.15">
      <c r="A56" s="75" t="s">
        <v>38</v>
      </c>
      <c r="B56" s="140" t="s">
        <v>23</v>
      </c>
      <c r="C56" s="140" t="s">
        <v>23</v>
      </c>
      <c r="D56" s="140" t="s">
        <v>23</v>
      </c>
      <c r="E56" s="140" t="s">
        <v>23</v>
      </c>
      <c r="F56" s="140" t="s">
        <v>23</v>
      </c>
      <c r="G56" s="89">
        <v>-557</v>
      </c>
      <c r="H56" s="89">
        <v>-2555</v>
      </c>
      <c r="I56" s="89">
        <f>-232-2981</f>
        <v>-3213</v>
      </c>
      <c r="J56" s="89">
        <f>474-2427</f>
        <v>-1953</v>
      </c>
      <c r="K56" s="89">
        <f>-5240-806</f>
        <v>-6046</v>
      </c>
      <c r="L56" s="64">
        <v>-3087</v>
      </c>
      <c r="M56" s="7">
        <v>-4556.7830000000004</v>
      </c>
      <c r="N56" s="6" t="s">
        <v>23</v>
      </c>
      <c r="O56" s="6" t="s">
        <v>23</v>
      </c>
      <c r="P56" s="6" t="s">
        <v>23</v>
      </c>
      <c r="Q56" s="6" t="s">
        <v>23</v>
      </c>
      <c r="R56" s="6" t="s">
        <v>23</v>
      </c>
    </row>
    <row r="57" spans="1:20" x14ac:dyDescent="0.15">
      <c r="A57" s="75" t="s">
        <v>36</v>
      </c>
      <c r="B57" s="140" t="s">
        <v>23</v>
      </c>
      <c r="C57" s="89">
        <f>-1018+1058</f>
        <v>40</v>
      </c>
      <c r="D57" s="140" t="s">
        <v>23</v>
      </c>
      <c r="E57" s="140" t="s">
        <v>23</v>
      </c>
      <c r="F57" s="99">
        <f>16379+295+1451</f>
        <v>18125</v>
      </c>
      <c r="G57" s="140" t="s">
        <v>23</v>
      </c>
      <c r="H57" s="140" t="s">
        <v>23</v>
      </c>
      <c r="I57" s="140" t="s">
        <v>23</v>
      </c>
      <c r="J57" s="96">
        <v>1269</v>
      </c>
      <c r="K57" s="140" t="s">
        <v>23</v>
      </c>
      <c r="L57" s="29">
        <v>-1282</v>
      </c>
      <c r="M57" s="70">
        <v>-8241</v>
      </c>
      <c r="N57" s="6" t="s">
        <v>23</v>
      </c>
      <c r="O57" s="6" t="s">
        <v>23</v>
      </c>
      <c r="P57" s="6" t="s">
        <v>23</v>
      </c>
      <c r="Q57" s="6" t="s">
        <v>23</v>
      </c>
      <c r="R57" s="6" t="s">
        <v>23</v>
      </c>
    </row>
    <row r="58" spans="1:20" x14ac:dyDescent="0.15">
      <c r="A58" s="75" t="s">
        <v>37</v>
      </c>
      <c r="B58" s="135">
        <f t="shared" ref="B58:C58" si="24">SUM(B53:B57)</f>
        <v>150518</v>
      </c>
      <c r="C58" s="135">
        <f t="shared" si="24"/>
        <v>135374</v>
      </c>
      <c r="D58" s="135">
        <f t="shared" ref="D58:E58" si="25">SUM(D53:D57)</f>
        <v>130137</v>
      </c>
      <c r="E58" s="135">
        <f t="shared" si="25"/>
        <v>123614</v>
      </c>
      <c r="F58" s="135">
        <f t="shared" ref="F58:L58" si="26">SUM(F53:F57)</f>
        <v>109375</v>
      </c>
      <c r="G58" s="135">
        <f t="shared" si="26"/>
        <v>84267</v>
      </c>
      <c r="H58" s="135">
        <f t="shared" si="26"/>
        <v>76970</v>
      </c>
      <c r="I58" s="135">
        <f t="shared" si="26"/>
        <v>69337.600000000006</v>
      </c>
      <c r="J58" s="135">
        <f t="shared" si="26"/>
        <v>62282</v>
      </c>
      <c r="K58" s="135">
        <f t="shared" si="26"/>
        <v>57061</v>
      </c>
      <c r="L58" s="59">
        <f t="shared" si="26"/>
        <v>52303</v>
      </c>
      <c r="M58" s="44">
        <f>+M53+M54+M55+M56+M57</f>
        <v>45923.689999999995</v>
      </c>
      <c r="N58" s="44">
        <f>+N53+N54+N55</f>
        <v>49081.053</v>
      </c>
      <c r="O58" s="8">
        <f>+O53+O54+O55</f>
        <v>40830.870999999999</v>
      </c>
      <c r="P58" s="8">
        <f>+P53+P54+P55</f>
        <v>35038.035000000003</v>
      </c>
      <c r="Q58" s="8">
        <f>+Q53+Q54+Q55</f>
        <v>70646</v>
      </c>
      <c r="R58" s="8">
        <v>24529</v>
      </c>
    </row>
    <row r="59" spans="1:20" x14ac:dyDescent="0.15">
      <c r="A59" s="53"/>
      <c r="B59" s="92"/>
      <c r="C59" s="92"/>
      <c r="D59" s="92"/>
      <c r="E59" s="63"/>
      <c r="F59" s="63"/>
      <c r="G59" s="63"/>
      <c r="H59" s="63"/>
      <c r="I59" s="63"/>
      <c r="J59" s="63"/>
      <c r="K59" s="63"/>
      <c r="L59" s="63"/>
      <c r="M59" s="63"/>
      <c r="N59" s="45"/>
      <c r="R59" s="3"/>
    </row>
    <row r="60" spans="1:20" x14ac:dyDescent="0.15">
      <c r="A60" s="112" t="s">
        <v>84</v>
      </c>
      <c r="B60" s="97">
        <v>0.1356</v>
      </c>
      <c r="C60" s="97">
        <v>0.1164</v>
      </c>
      <c r="D60" s="97">
        <v>0.10016</v>
      </c>
      <c r="E60" s="65">
        <v>0.13424</v>
      </c>
      <c r="F60" s="65">
        <v>0.14199999999999999</v>
      </c>
      <c r="G60" s="97">
        <v>0.1512</v>
      </c>
      <c r="H60" s="113">
        <v>0.1741</v>
      </c>
      <c r="I60" s="97">
        <v>0.1832</v>
      </c>
      <c r="J60" s="97">
        <v>0.1777</v>
      </c>
      <c r="K60" s="97">
        <v>0.2142</v>
      </c>
      <c r="L60" s="65">
        <v>0.18912000000000001</v>
      </c>
      <c r="M60" s="17">
        <v>0.19670000000000001</v>
      </c>
      <c r="N60" s="50">
        <v>0.12909999999999999</v>
      </c>
      <c r="O60" s="17">
        <v>0.10517</v>
      </c>
      <c r="P60" s="17">
        <v>9.7000000000000003E-2</v>
      </c>
      <c r="Q60" s="17">
        <v>0.1108</v>
      </c>
      <c r="R60" s="17">
        <v>0.10680000000000001</v>
      </c>
    </row>
    <row r="61" spans="1:20" x14ac:dyDescent="0.15">
      <c r="A61" s="75" t="s">
        <v>20</v>
      </c>
      <c r="B61" s="137">
        <f t="shared" ref="B61" si="27">B50/22920</f>
        <v>1.4820244328097731</v>
      </c>
      <c r="C61" s="137">
        <f t="shared" ref="C61:H61" si="28">C50/22920</f>
        <v>1.2613001745200698</v>
      </c>
      <c r="D61" s="137">
        <f t="shared" si="28"/>
        <v>1.169633507853403</v>
      </c>
      <c r="E61" s="137">
        <f t="shared" si="28"/>
        <v>1.1044938917975566</v>
      </c>
      <c r="F61" s="137">
        <f t="shared" si="28"/>
        <v>1.2571553228621291</v>
      </c>
      <c r="G61" s="137">
        <f t="shared" si="28"/>
        <v>1.1462041884816754</v>
      </c>
      <c r="H61" s="137">
        <f t="shared" si="28"/>
        <v>1.2748691099476439</v>
      </c>
      <c r="I61" s="138">
        <f>I50/11720-0.01</f>
        <v>2.3632935153583619</v>
      </c>
      <c r="J61" s="138">
        <f>J50/11720</f>
        <v>1.9234641638225256</v>
      </c>
      <c r="K61" s="138">
        <v>2.48</v>
      </c>
      <c r="L61" s="66">
        <v>2.2999999999999998</v>
      </c>
      <c r="M61" s="51">
        <f>(+M50)/11720</f>
        <v>2.1840847269624573</v>
      </c>
      <c r="N61" s="51">
        <f>(+N50)/11720</f>
        <v>2.3996587030716725</v>
      </c>
      <c r="O61" s="18">
        <f>(+O50)/11720</f>
        <v>1.673744709897611</v>
      </c>
      <c r="P61" s="18">
        <f>(+P50)/11720</f>
        <v>1.3908703071672355</v>
      </c>
      <c r="Q61" s="18">
        <f>(+Q50)/11720</f>
        <v>5.1053754266211602</v>
      </c>
      <c r="R61" s="18">
        <v>1.8026450511945393</v>
      </c>
    </row>
    <row r="62" spans="1:20" x14ac:dyDescent="0.15">
      <c r="A62" s="75" t="s">
        <v>21</v>
      </c>
      <c r="B62" s="137">
        <f>B52/22920</f>
        <v>0.7800174520069808</v>
      </c>
      <c r="C62" s="137">
        <f>C52/22920</f>
        <v>0.75</v>
      </c>
      <c r="D62" s="137">
        <f>D52/22920</f>
        <v>0.7</v>
      </c>
      <c r="E62" s="137">
        <f>E52/22920</f>
        <v>0.35</v>
      </c>
      <c r="F62" s="137">
        <f>F52/22920</f>
        <v>0.76998254799301924</v>
      </c>
      <c r="G62" s="137">
        <v>0.79</v>
      </c>
      <c r="H62" s="137">
        <f>H52/11720</f>
        <v>1.5926621160409555</v>
      </c>
      <c r="I62" s="138">
        <f>I52/11720</f>
        <v>1.4700000000000002</v>
      </c>
      <c r="J62" s="138">
        <f>J52/11720</f>
        <v>1.3400170648464165</v>
      </c>
      <c r="K62" s="138">
        <v>1.42</v>
      </c>
      <c r="L62" s="66">
        <v>1.42</v>
      </c>
      <c r="M62" s="51">
        <f>(+M52)/11720</f>
        <v>1.3408703071672354</v>
      </c>
      <c r="N62" s="51">
        <f>(+N52)/11720</f>
        <v>1.6605756825938567</v>
      </c>
      <c r="O62" s="18">
        <f>(+O52)/11720</f>
        <v>1.1399999999999999</v>
      </c>
      <c r="P62" s="18">
        <f>(+P52)/11720</f>
        <v>0.9475226109215017</v>
      </c>
      <c r="Q62" s="18">
        <f>(+Q52)/11720</f>
        <v>1.1499999999999999</v>
      </c>
      <c r="R62" s="18">
        <v>1.2552047781569966</v>
      </c>
    </row>
    <row r="63" spans="1:20" x14ac:dyDescent="0.15">
      <c r="A63" s="75" t="s">
        <v>22</v>
      </c>
      <c r="B63" s="103" t="s">
        <v>90</v>
      </c>
      <c r="C63" s="103" t="s">
        <v>86</v>
      </c>
      <c r="D63" s="103" t="s">
        <v>72</v>
      </c>
      <c r="E63" s="115" t="s">
        <v>39</v>
      </c>
      <c r="F63" s="116" t="s">
        <v>58</v>
      </c>
      <c r="G63" s="103" t="s">
        <v>70</v>
      </c>
      <c r="H63" s="103" t="s">
        <v>71</v>
      </c>
      <c r="I63" s="103" t="s">
        <v>72</v>
      </c>
      <c r="J63" s="115" t="s">
        <v>68</v>
      </c>
      <c r="K63" s="115" t="s">
        <v>39</v>
      </c>
      <c r="L63" s="115" t="s">
        <v>70</v>
      </c>
      <c r="M63" s="115" t="s">
        <v>70</v>
      </c>
      <c r="N63" s="115" t="s">
        <v>70</v>
      </c>
      <c r="O63" s="26" t="s">
        <v>24</v>
      </c>
      <c r="P63" s="26" t="s">
        <v>28</v>
      </c>
      <c r="Q63" s="26" t="s">
        <v>27</v>
      </c>
      <c r="R63" s="19" t="s">
        <v>25</v>
      </c>
      <c r="T63" s="39"/>
    </row>
    <row r="64" spans="1:20" x14ac:dyDescent="0.15">
      <c r="A64" s="114" t="s">
        <v>91</v>
      </c>
      <c r="B64" s="139">
        <f>27801+970</f>
        <v>28771</v>
      </c>
      <c r="C64" s="139">
        <f>20782+763</f>
        <v>21545</v>
      </c>
      <c r="D64" s="139">
        <v>27658</v>
      </c>
      <c r="E64" s="139">
        <v>28211</v>
      </c>
      <c r="F64" s="139">
        <f>90988+6255</f>
        <v>97243</v>
      </c>
      <c r="G64" s="139">
        <f>38544.131+6845.467</f>
        <v>45389.597999999998</v>
      </c>
      <c r="H64" s="139">
        <f>20982.242+1280.019</f>
        <v>22262.260999999999</v>
      </c>
      <c r="I64" s="139">
        <f>30102.983+1177.611</f>
        <v>31280.594000000001</v>
      </c>
      <c r="J64" s="139">
        <f>27625.711+718.049</f>
        <v>28343.759999999998</v>
      </c>
      <c r="K64" s="139">
        <f>51218.656+575.133</f>
        <v>51793.789000000004</v>
      </c>
      <c r="L64" s="86">
        <v>26108.07</v>
      </c>
      <c r="M64" s="86">
        <v>27199.569</v>
      </c>
      <c r="N64" s="87">
        <v>42880.582999999999</v>
      </c>
      <c r="O64" s="87">
        <v>17403.614000000001</v>
      </c>
      <c r="P64" s="87">
        <v>12706.107</v>
      </c>
      <c r="Q64" s="87">
        <v>20155.464</v>
      </c>
      <c r="R64" s="86">
        <v>41364.303</v>
      </c>
    </row>
    <row r="65" spans="1:19" ht="21" customHeight="1" x14ac:dyDescent="0.15">
      <c r="B65" s="107" t="s">
        <v>41</v>
      </c>
      <c r="C65" s="107"/>
      <c r="D65" s="107"/>
      <c r="E65" s="107"/>
      <c r="R65" s="1"/>
    </row>
    <row r="66" spans="1:19" x14ac:dyDescent="0.15">
      <c r="B66" s="63"/>
      <c r="C66" s="63"/>
      <c r="D66" s="63"/>
      <c r="F66" s="63"/>
    </row>
    <row r="67" spans="1:19" x14ac:dyDescent="0.15">
      <c r="B67" s="63"/>
      <c r="C67" s="63"/>
      <c r="F67" s="63"/>
    </row>
    <row r="68" spans="1:19" hidden="1" x14ac:dyDescent="0.15">
      <c r="A68" t="s">
        <v>77</v>
      </c>
      <c r="B68" s="68"/>
      <c r="C68" s="68"/>
      <c r="D68" s="68"/>
      <c r="E68" s="68">
        <f>E22+14878</f>
        <v>167950</v>
      </c>
      <c r="F68" s="68">
        <f>F22+15263</f>
        <v>183060</v>
      </c>
      <c r="G68" s="68">
        <f>G22+11965</f>
        <v>135361</v>
      </c>
      <c r="H68" s="68">
        <f>H22+13635</f>
        <v>108344</v>
      </c>
      <c r="I68" s="68">
        <f>I22+12115</f>
        <v>119963</v>
      </c>
      <c r="J68" s="16">
        <f>16739+J22</f>
        <v>127493</v>
      </c>
      <c r="K68" s="16">
        <f>22084+K22</f>
        <v>129372</v>
      </c>
      <c r="L68" s="16">
        <f>25452+L22</f>
        <v>106812</v>
      </c>
      <c r="M68" s="16">
        <f>15658+M22</f>
        <v>100573.64499999999</v>
      </c>
      <c r="N68" s="16">
        <f>13795+N22</f>
        <v>102643.03200000001</v>
      </c>
    </row>
    <row r="69" spans="1:19" hidden="1" x14ac:dyDescent="0.15">
      <c r="A69" t="s">
        <v>76</v>
      </c>
      <c r="B69" s="68"/>
      <c r="C69" s="68"/>
      <c r="D69" s="68"/>
      <c r="E69" s="68">
        <f t="shared" ref="E69:S69" si="29">E19+E20+E21</f>
        <v>227381</v>
      </c>
      <c r="F69" s="68">
        <f t="shared" si="29"/>
        <v>210959</v>
      </c>
      <c r="G69" s="68">
        <f t="shared" si="29"/>
        <v>205100</v>
      </c>
      <c r="H69" s="68">
        <f t="shared" si="29"/>
        <v>196026</v>
      </c>
      <c r="I69" s="68">
        <f t="shared" si="29"/>
        <v>187414</v>
      </c>
      <c r="J69" s="68">
        <f t="shared" si="29"/>
        <v>181129</v>
      </c>
      <c r="K69" s="68">
        <f t="shared" si="29"/>
        <v>170808</v>
      </c>
      <c r="L69" s="68">
        <f t="shared" si="29"/>
        <v>159423</v>
      </c>
      <c r="M69" s="68">
        <f t="shared" si="29"/>
        <v>150523</v>
      </c>
      <c r="N69" s="68">
        <f t="shared" si="29"/>
        <v>153758.81099999999</v>
      </c>
      <c r="O69" s="68">
        <f t="shared" si="29"/>
        <v>146244</v>
      </c>
      <c r="P69" s="68">
        <f t="shared" si="29"/>
        <v>139829</v>
      </c>
      <c r="Q69" s="68">
        <f t="shared" si="29"/>
        <v>134150</v>
      </c>
      <c r="R69" s="68">
        <f t="shared" si="29"/>
        <v>128453</v>
      </c>
      <c r="S69" s="68">
        <f t="shared" si="29"/>
        <v>0</v>
      </c>
    </row>
    <row r="70" spans="1:19" hidden="1" x14ac:dyDescent="0.15">
      <c r="A70" t="s">
        <v>78</v>
      </c>
      <c r="B70" s="68"/>
      <c r="C70" s="68"/>
      <c r="D70" s="68"/>
      <c r="E70" s="68">
        <f t="shared" ref="E70" si="30">E69+E68</f>
        <v>395331</v>
      </c>
      <c r="F70" s="68">
        <f t="shared" ref="F70:G70" si="31">F69+F68</f>
        <v>394019</v>
      </c>
      <c r="G70" s="68">
        <f t="shared" si="31"/>
        <v>340461</v>
      </c>
      <c r="H70" s="68">
        <f t="shared" ref="H70" si="32">H69+H68</f>
        <v>304370</v>
      </c>
      <c r="I70" s="68">
        <f>I69+I68</f>
        <v>307377</v>
      </c>
      <c r="J70" s="57">
        <f>J69+J68</f>
        <v>308622</v>
      </c>
      <c r="K70" s="57">
        <f t="shared" ref="K70:N70" si="33">K69+K68</f>
        <v>300180</v>
      </c>
      <c r="L70" s="57">
        <f t="shared" si="33"/>
        <v>266235</v>
      </c>
      <c r="M70" s="57">
        <f t="shared" si="33"/>
        <v>251096.64499999999</v>
      </c>
      <c r="N70" s="57">
        <f t="shared" si="33"/>
        <v>256401.84299999999</v>
      </c>
    </row>
    <row r="71" spans="1:19" hidden="1" x14ac:dyDescent="0.15">
      <c r="A71" t="s">
        <v>80</v>
      </c>
      <c r="B71" s="110"/>
      <c r="C71" s="110"/>
      <c r="D71" s="110"/>
      <c r="E71" s="110">
        <f t="shared" ref="E71" si="34">E68/E70</f>
        <v>0.42483387338711104</v>
      </c>
      <c r="F71" s="110">
        <f t="shared" ref="F71:G71" si="35">F68/F70</f>
        <v>0.46459688492179313</v>
      </c>
      <c r="G71" s="110">
        <f t="shared" si="35"/>
        <v>0.39758151447596052</v>
      </c>
      <c r="H71" s="110">
        <f t="shared" ref="H71" si="36">H68/H70</f>
        <v>0.35596149423399154</v>
      </c>
      <c r="I71" s="110">
        <f>I68/I70</f>
        <v>0.39027968911141692</v>
      </c>
      <c r="J71" s="100">
        <f>J68/J70</f>
        <v>0.41310405609451045</v>
      </c>
      <c r="K71" s="100">
        <f t="shared" ref="K71:N71" si="37">K68/K70</f>
        <v>0.43098141115330801</v>
      </c>
      <c r="L71" s="100">
        <f t="shared" si="37"/>
        <v>0.40119443348921063</v>
      </c>
      <c r="M71" s="100">
        <f t="shared" si="37"/>
        <v>0.40053758981925064</v>
      </c>
      <c r="N71" s="100">
        <f t="shared" si="37"/>
        <v>0.40032096025144409</v>
      </c>
    </row>
    <row r="72" spans="1:19" hidden="1" x14ac:dyDescent="0.15">
      <c r="A72" t="s">
        <v>81</v>
      </c>
      <c r="B72" s="121"/>
      <c r="C72" s="121"/>
      <c r="D72" s="121"/>
      <c r="E72" s="121">
        <f>1-E71</f>
        <v>0.57516612661288891</v>
      </c>
      <c r="F72" s="121">
        <f t="shared" ref="F72:J72" si="38">1-F71</f>
        <v>0.53540311507820681</v>
      </c>
      <c r="G72" s="121">
        <f t="shared" si="38"/>
        <v>0.60241848552403954</v>
      </c>
      <c r="H72" s="121">
        <f t="shared" si="38"/>
        <v>0.64403850576600852</v>
      </c>
      <c r="I72" s="121">
        <f t="shared" si="38"/>
        <v>0.60972031088858314</v>
      </c>
      <c r="J72" s="121">
        <f t="shared" si="38"/>
        <v>0.58689594390548949</v>
      </c>
    </row>
    <row r="73" spans="1:19" hidden="1" x14ac:dyDescent="0.15">
      <c r="F73" s="68"/>
      <c r="G73" s="68"/>
    </row>
    <row r="74" spans="1:19" hidden="1" x14ac:dyDescent="0.15">
      <c r="A74" t="s">
        <v>82</v>
      </c>
      <c r="B74" s="16"/>
      <c r="C74" s="16"/>
      <c r="D74" s="16"/>
      <c r="E74" s="16">
        <f t="shared" ref="E74:M74" si="39">E50</f>
        <v>25315</v>
      </c>
      <c r="F74" s="16">
        <f t="shared" si="39"/>
        <v>28814</v>
      </c>
      <c r="G74" s="16">
        <f t="shared" si="39"/>
        <v>26271</v>
      </c>
      <c r="H74" s="16">
        <f t="shared" si="39"/>
        <v>29220</v>
      </c>
      <c r="I74" s="16">
        <f t="shared" si="39"/>
        <v>27815</v>
      </c>
      <c r="J74" s="16">
        <f t="shared" si="39"/>
        <v>22543</v>
      </c>
      <c r="K74" s="16">
        <f t="shared" si="39"/>
        <v>28090</v>
      </c>
      <c r="L74" s="16">
        <f t="shared" si="39"/>
        <v>26754</v>
      </c>
      <c r="M74" s="16">
        <f t="shared" si="39"/>
        <v>25597.472999999998</v>
      </c>
    </row>
    <row r="75" spans="1:19" hidden="1" x14ac:dyDescent="0.15">
      <c r="A75" t="s">
        <v>83</v>
      </c>
      <c r="B75" s="57"/>
      <c r="C75" s="57"/>
      <c r="D75" s="57"/>
      <c r="E75" s="57">
        <f t="shared" ref="E75:I75" si="40">+(E69+F69)/2</f>
        <v>219170</v>
      </c>
      <c r="F75" s="57">
        <f t="shared" si="40"/>
        <v>208029.5</v>
      </c>
      <c r="G75" s="57">
        <f t="shared" si="40"/>
        <v>200563</v>
      </c>
      <c r="H75" s="57">
        <f t="shared" si="40"/>
        <v>191720</v>
      </c>
      <c r="I75" s="57">
        <f t="shared" si="40"/>
        <v>184271.5</v>
      </c>
      <c r="J75" s="57">
        <f t="shared" ref="J75" si="41">+(J69+K69)/2</f>
        <v>175968.5</v>
      </c>
      <c r="K75" s="57">
        <f t="shared" ref="K75" si="42">+(K69+L69)/2</f>
        <v>165115.5</v>
      </c>
      <c r="L75" s="57">
        <f t="shared" ref="L75:M75" si="43">+(L69+M69)/2</f>
        <v>154973</v>
      </c>
      <c r="M75" s="57">
        <f t="shared" si="43"/>
        <v>152140.90549999999</v>
      </c>
    </row>
    <row r="76" spans="1:19" s="15" customFormat="1" ht="13.5" hidden="1" customHeight="1" x14ac:dyDescent="0.15">
      <c r="A76" t="s">
        <v>79</v>
      </c>
      <c r="B76" s="67"/>
      <c r="C76" s="67"/>
      <c r="D76" s="67"/>
      <c r="E76" s="67">
        <f t="shared" ref="E76:M76" si="44">+E74/E75</f>
        <v>0.11550394670803486</v>
      </c>
      <c r="F76" s="67">
        <f t="shared" si="44"/>
        <v>0.1385092018199342</v>
      </c>
      <c r="G76" s="67">
        <f t="shared" si="44"/>
        <v>0.13098627363970422</v>
      </c>
      <c r="H76" s="67">
        <f t="shared" si="44"/>
        <v>0.15240976423951597</v>
      </c>
      <c r="I76" s="67">
        <f t="shared" si="44"/>
        <v>0.15094575124205317</v>
      </c>
      <c r="J76" s="67">
        <f t="shared" si="44"/>
        <v>0.12810815572105236</v>
      </c>
      <c r="K76" s="67">
        <f t="shared" si="44"/>
        <v>0.17012333790589013</v>
      </c>
      <c r="L76" s="67">
        <f t="shared" si="44"/>
        <v>0.17263652378156194</v>
      </c>
      <c r="M76" s="67">
        <f t="shared" si="44"/>
        <v>0.16824845964913754</v>
      </c>
      <c r="N76" s="122"/>
    </row>
    <row r="77" spans="1:19" x14ac:dyDescent="0.15">
      <c r="G77" s="92"/>
    </row>
    <row r="78" spans="1:19" x14ac:dyDescent="0.15">
      <c r="G78"/>
      <c r="H78"/>
      <c r="I78"/>
      <c r="M78" s="104"/>
      <c r="N78" s="105"/>
      <c r="O78"/>
    </row>
  </sheetData>
  <mergeCells count="1">
    <mergeCell ref="A1:R1"/>
  </mergeCells>
  <phoneticPr fontId="5" type="noConversion"/>
  <pageMargins left="0.44" right="0.33" top="1" bottom="1" header="0.5" footer="0.5"/>
  <pageSetup scale="75" orientation="landscape" horizontalDpi="4294967294" r:id="rId1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19" workbookViewId="0">
      <selection activeCell="N8" sqref="N8"/>
    </sheetView>
  </sheetViews>
  <sheetFormatPr baseColWidth="10" defaultColWidth="8.83203125" defaultRowHeight="13" x14ac:dyDescent="0.15"/>
  <cols>
    <col min="1" max="1" width="32.5" customWidth="1"/>
    <col min="2" max="2" width="11.5" customWidth="1"/>
    <col min="3" max="9" width="14" bestFit="1" customWidth="1"/>
    <col min="10" max="11" width="11.6640625" bestFit="1" customWidth="1"/>
  </cols>
  <sheetData>
    <row r="1" spans="1:13" x14ac:dyDescent="0.15">
      <c r="A1" s="13"/>
      <c r="B1" s="13"/>
    </row>
    <row r="2" spans="1:13" x14ac:dyDescent="0.15">
      <c r="A2" s="13"/>
      <c r="B2" s="69" t="s">
        <v>42</v>
      </c>
      <c r="C2" s="69" t="s">
        <v>43</v>
      </c>
      <c r="D2" s="69" t="s">
        <v>44</v>
      </c>
      <c r="E2" s="69" t="s">
        <v>45</v>
      </c>
      <c r="F2" s="69" t="s">
        <v>46</v>
      </c>
      <c r="G2" s="69" t="s">
        <v>47</v>
      </c>
      <c r="H2" s="69" t="s">
        <v>40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</row>
    <row r="3" spans="1:13" x14ac:dyDescent="0.15">
      <c r="A3" s="4" t="s">
        <v>20</v>
      </c>
      <c r="B3" s="71">
        <f>'Financial Statistics '!R61</f>
        <v>1.8026450511945393</v>
      </c>
      <c r="C3" s="71">
        <f>'Financial Statistics '!Q61</f>
        <v>5.1053754266211602</v>
      </c>
      <c r="D3" s="71">
        <f>'Financial Statistics '!P61</f>
        <v>1.3908703071672355</v>
      </c>
      <c r="E3" s="71">
        <f>'Financial Statistics '!O61</f>
        <v>1.673744709897611</v>
      </c>
      <c r="F3" s="71">
        <f>'Financial Statistics '!N61</f>
        <v>2.3996587030716725</v>
      </c>
      <c r="G3" s="71">
        <f>'Financial Statistics '!M61</f>
        <v>2.1840847269624573</v>
      </c>
      <c r="H3" s="71">
        <f>'Financial Statistics '!L61</f>
        <v>2.2999999999999998</v>
      </c>
      <c r="I3" s="4">
        <v>2.46</v>
      </c>
      <c r="J3" s="83">
        <f>'Financial Statistics '!J61</f>
        <v>1.9234641638225256</v>
      </c>
      <c r="K3" s="83">
        <f>'Financial Statistics '!I61</f>
        <v>2.3632935153583619</v>
      </c>
    </row>
    <row r="4" spans="1:13" x14ac:dyDescent="0.15">
      <c r="A4" s="4" t="s">
        <v>21</v>
      </c>
      <c r="B4" s="72">
        <f>'Financial Statistics '!R62</f>
        <v>1.2552047781569966</v>
      </c>
      <c r="C4" s="72">
        <f>'Financial Statistics '!Q62</f>
        <v>1.1499999999999999</v>
      </c>
      <c r="D4" s="72">
        <f>'Financial Statistics '!P62</f>
        <v>0.9475226109215017</v>
      </c>
      <c r="E4" s="72">
        <f>'Financial Statistics '!O62</f>
        <v>1.1399999999999999</v>
      </c>
      <c r="F4" s="72">
        <f>'Financial Statistics '!N62</f>
        <v>1.6605756825938567</v>
      </c>
      <c r="G4" s="72">
        <f>'Financial Statistics '!M62</f>
        <v>1.3408703071672354</v>
      </c>
      <c r="H4" s="72">
        <f>'Financial Statistics '!L62</f>
        <v>1.42</v>
      </c>
      <c r="I4" s="74">
        <v>1.42</v>
      </c>
      <c r="J4" s="83">
        <f>'Financial Statistics '!J62</f>
        <v>1.3400170648464165</v>
      </c>
      <c r="K4" s="83">
        <f>'Financial Statistics '!I62</f>
        <v>1.4700000000000002</v>
      </c>
    </row>
    <row r="5" spans="1:13" x14ac:dyDescent="0.15">
      <c r="B5" s="28"/>
      <c r="C5" s="28"/>
      <c r="D5" s="28"/>
      <c r="E5" s="28"/>
      <c r="F5" s="28"/>
      <c r="G5" s="28"/>
      <c r="H5" s="28"/>
      <c r="I5" s="28"/>
    </row>
    <row r="7" spans="1:13" x14ac:dyDescent="0.15">
      <c r="A7" s="4"/>
      <c r="B7" s="69" t="s">
        <v>42</v>
      </c>
      <c r="C7" s="69" t="s">
        <v>43</v>
      </c>
      <c r="D7" s="69" t="s">
        <v>44</v>
      </c>
      <c r="E7" s="69" t="s">
        <v>45</v>
      </c>
      <c r="F7" s="69" t="s">
        <v>46</v>
      </c>
      <c r="G7" s="69" t="s">
        <v>47</v>
      </c>
      <c r="H7" s="69" t="s">
        <v>40</v>
      </c>
      <c r="I7" s="69" t="s">
        <v>52</v>
      </c>
      <c r="J7" s="4">
        <v>2008</v>
      </c>
      <c r="K7" s="4">
        <v>2009</v>
      </c>
    </row>
    <row r="8" spans="1:13" x14ac:dyDescent="0.15">
      <c r="A8" s="4" t="s">
        <v>53</v>
      </c>
      <c r="B8" s="58">
        <v>14388680</v>
      </c>
      <c r="C8" s="58">
        <v>14860580</v>
      </c>
      <c r="D8" s="58">
        <v>14736896</v>
      </c>
      <c r="E8" s="58">
        <v>15436122</v>
      </c>
      <c r="F8" s="58">
        <v>15961905</v>
      </c>
      <c r="G8" s="58">
        <v>16666145</v>
      </c>
      <c r="H8" s="58">
        <v>17009188</v>
      </c>
      <c r="I8" s="58" t="e">
        <f>#REF!</f>
        <v>#REF!</v>
      </c>
      <c r="J8" s="77" t="e">
        <f>#REF!</f>
        <v>#REF!</v>
      </c>
      <c r="K8" s="77" t="e">
        <f>#REF!</f>
        <v>#REF!</v>
      </c>
    </row>
    <row r="9" spans="1:13" x14ac:dyDescent="0.15">
      <c r="A9" s="4" t="s">
        <v>54</v>
      </c>
      <c r="B9" s="14" t="e">
        <f>#REF!*1000</f>
        <v>#REF!</v>
      </c>
      <c r="C9" s="14" t="e">
        <f>#REF!*1000</f>
        <v>#REF!</v>
      </c>
      <c r="D9" s="14" t="e">
        <f>#REF!*1000</f>
        <v>#REF!</v>
      </c>
      <c r="E9" s="14" t="e">
        <f>#REF!*1000</f>
        <v>#REF!</v>
      </c>
      <c r="F9" s="14" t="e">
        <f>#REF!*1000</f>
        <v>#REF!</v>
      </c>
      <c r="G9" s="14" t="e">
        <f>#REF!*1000</f>
        <v>#REF!</v>
      </c>
      <c r="H9" s="14" t="e">
        <f>#REF!*1000</f>
        <v>#REF!</v>
      </c>
      <c r="I9" s="14" t="e">
        <f>#REF!*1000</f>
        <v>#REF!</v>
      </c>
      <c r="J9" s="16" t="e">
        <f>#REF!*1000</f>
        <v>#REF!</v>
      </c>
      <c r="K9" s="16" t="e">
        <f>#REF!*1000</f>
        <v>#REF!</v>
      </c>
    </row>
    <row r="10" spans="1:13" x14ac:dyDescent="0.15">
      <c r="A10" s="4"/>
    </row>
    <row r="11" spans="1:13" x14ac:dyDescent="0.15">
      <c r="A11" s="4"/>
      <c r="J11" s="4"/>
    </row>
    <row r="12" spans="1:13" x14ac:dyDescent="0.15">
      <c r="A12" s="4"/>
      <c r="B12" s="69" t="s">
        <v>42</v>
      </c>
      <c r="C12" s="69" t="s">
        <v>43</v>
      </c>
      <c r="D12" s="69" t="s">
        <v>44</v>
      </c>
      <c r="E12" s="69" t="s">
        <v>45</v>
      </c>
      <c r="F12" s="69" t="s">
        <v>46</v>
      </c>
      <c r="G12" s="69" t="s">
        <v>47</v>
      </c>
      <c r="H12" s="69" t="s">
        <v>40</v>
      </c>
      <c r="I12" s="69" t="s">
        <v>52</v>
      </c>
      <c r="J12" s="4">
        <v>2008</v>
      </c>
      <c r="K12" s="4">
        <v>2009</v>
      </c>
    </row>
    <row r="13" spans="1:13" x14ac:dyDescent="0.15">
      <c r="A13" s="101" t="s">
        <v>66</v>
      </c>
      <c r="B13" s="73" t="e">
        <f>('Financial Statistics '!R40/#REF!)*100</f>
        <v>#REF!</v>
      </c>
      <c r="C13" s="73" t="e">
        <f>('Financial Statistics '!Q40/#REF!)*100</f>
        <v>#REF!</v>
      </c>
      <c r="D13" s="73" t="e">
        <f>('Financial Statistics '!P40/#REF!)*100</f>
        <v>#REF!</v>
      </c>
      <c r="E13" s="73" t="e">
        <f>('Financial Statistics '!O40/#REF!)*100</f>
        <v>#REF!</v>
      </c>
      <c r="F13" s="73" t="e">
        <f>('Financial Statistics '!N40/#REF!)*100</f>
        <v>#REF!</v>
      </c>
      <c r="G13" s="73" t="e">
        <f>('Financial Statistics '!M40/#REF!)*100</f>
        <v>#REF!</v>
      </c>
      <c r="H13" s="73" t="e">
        <f>('Financial Statistics '!L40/#REF!)*100</f>
        <v>#REF!</v>
      </c>
      <c r="I13" s="73" t="e">
        <f>('Financial Statistics '!K40/#REF!)*100</f>
        <v>#REF!</v>
      </c>
      <c r="J13" s="73" t="e">
        <f>('Financial Statistics '!J40/#REF!)*100</f>
        <v>#REF!</v>
      </c>
      <c r="K13" s="73" t="e">
        <f>('Financial Statistics '!I40/#REF!)*100</f>
        <v>#REF!</v>
      </c>
    </row>
    <row r="14" spans="1:13" x14ac:dyDescent="0.15">
      <c r="A14" s="4"/>
    </row>
    <row r="15" spans="1:13" x14ac:dyDescent="0.15">
      <c r="A15" s="4"/>
    </row>
    <row r="16" spans="1:13" x14ac:dyDescent="0.15">
      <c r="A16" s="4"/>
      <c r="B16" s="69" t="s">
        <v>42</v>
      </c>
      <c r="C16" s="69" t="s">
        <v>43</v>
      </c>
      <c r="D16" s="69" t="s">
        <v>44</v>
      </c>
      <c r="E16" s="69" t="s">
        <v>45</v>
      </c>
      <c r="F16" s="69" t="s">
        <v>46</v>
      </c>
      <c r="G16" s="69" t="s">
        <v>47</v>
      </c>
      <c r="H16" s="69" t="s">
        <v>40</v>
      </c>
      <c r="I16" s="69" t="s">
        <v>52</v>
      </c>
      <c r="J16" s="4">
        <v>2008</v>
      </c>
      <c r="K16" s="4">
        <v>2009</v>
      </c>
    </row>
    <row r="17" spans="1:11" x14ac:dyDescent="0.15">
      <c r="A17" s="4" t="s">
        <v>50</v>
      </c>
      <c r="B17" s="57">
        <v>234081</v>
      </c>
      <c r="C17" s="57">
        <v>243416</v>
      </c>
      <c r="D17" s="57">
        <v>239386.8</v>
      </c>
      <c r="E17" s="57">
        <v>252120.03200000001</v>
      </c>
      <c r="F17" s="57">
        <v>266402</v>
      </c>
      <c r="G17" s="57">
        <v>277398.99400000001</v>
      </c>
      <c r="H17" s="57">
        <v>284398</v>
      </c>
      <c r="I17" t="e">
        <f>#REF!</f>
        <v>#REF!</v>
      </c>
      <c r="J17" s="16" t="e">
        <f>#REF!</f>
        <v>#REF!</v>
      </c>
      <c r="K17" s="16" t="e">
        <f>#REF!</f>
        <v>#REF!</v>
      </c>
    </row>
    <row r="18" spans="1:11" x14ac:dyDescent="0.15">
      <c r="A18" s="4" t="s">
        <v>48</v>
      </c>
      <c r="B18" s="57">
        <v>12069</v>
      </c>
      <c r="C18" s="57">
        <v>12522</v>
      </c>
      <c r="D18" s="57">
        <v>11969.692999999999</v>
      </c>
      <c r="E18" s="57">
        <v>11793</v>
      </c>
      <c r="F18" s="57">
        <v>12075.743</v>
      </c>
      <c r="G18" s="57">
        <v>13172</v>
      </c>
      <c r="H18" s="57">
        <v>13071</v>
      </c>
      <c r="I18" t="e">
        <f>#REF!</f>
        <v>#REF!</v>
      </c>
      <c r="J18" s="16" t="e">
        <f>#REF!</f>
        <v>#REF!</v>
      </c>
      <c r="K18" s="16" t="e">
        <f>#REF!</f>
        <v>#REF!</v>
      </c>
    </row>
    <row r="19" spans="1:11" x14ac:dyDescent="0.15">
      <c r="A19" s="4" t="s">
        <v>49</v>
      </c>
      <c r="B19" s="57">
        <v>30595</v>
      </c>
      <c r="C19" s="57">
        <v>30601</v>
      </c>
      <c r="D19" s="57">
        <v>34356</v>
      </c>
      <c r="E19" s="57">
        <v>35070</v>
      </c>
      <c r="F19" s="57">
        <v>30061.9</v>
      </c>
      <c r="G19" s="57">
        <v>33043</v>
      </c>
      <c r="H19" s="57">
        <v>33291</v>
      </c>
      <c r="I19" t="e">
        <f>#REF!</f>
        <v>#REF!</v>
      </c>
      <c r="J19" s="16" t="e">
        <f>#REF!</f>
        <v>#REF!</v>
      </c>
      <c r="K19" s="16" t="e">
        <f>#REF!</f>
        <v>#REF!</v>
      </c>
    </row>
    <row r="20" spans="1:11" x14ac:dyDescent="0.15">
      <c r="A20" s="4"/>
    </row>
    <row r="21" spans="1:11" x14ac:dyDescent="0.15">
      <c r="A21" s="4"/>
    </row>
    <row r="22" spans="1:11" x14ac:dyDescent="0.15">
      <c r="A22" s="4"/>
    </row>
    <row r="23" spans="1:11" x14ac:dyDescent="0.15">
      <c r="A23" s="4"/>
      <c r="B23" s="69" t="s">
        <v>42</v>
      </c>
      <c r="C23" s="69" t="s">
        <v>43</v>
      </c>
      <c r="D23" s="69" t="s">
        <v>44</v>
      </c>
      <c r="E23" s="69" t="s">
        <v>45</v>
      </c>
      <c r="F23" s="69" t="s">
        <v>46</v>
      </c>
      <c r="G23" s="69" t="s">
        <v>47</v>
      </c>
      <c r="H23" s="69" t="s">
        <v>40</v>
      </c>
      <c r="I23" s="69" t="s">
        <v>52</v>
      </c>
      <c r="J23" s="4">
        <v>2008</v>
      </c>
      <c r="K23" s="4">
        <v>2009</v>
      </c>
    </row>
    <row r="24" spans="1:11" x14ac:dyDescent="0.15">
      <c r="A24" s="4" t="s">
        <v>51</v>
      </c>
      <c r="B24" s="57">
        <v>46332</v>
      </c>
      <c r="C24" s="57">
        <v>47760</v>
      </c>
      <c r="D24" s="57">
        <v>48633</v>
      </c>
      <c r="E24" s="57">
        <v>50253</v>
      </c>
      <c r="F24" s="57">
        <v>51766</v>
      </c>
      <c r="G24" s="57">
        <v>53002</v>
      </c>
      <c r="H24" s="57">
        <v>54509</v>
      </c>
      <c r="I24" s="57" t="e">
        <f>#REF!</f>
        <v>#REF!</v>
      </c>
      <c r="J24" s="57" t="e">
        <f>#REF!</f>
        <v>#REF!</v>
      </c>
      <c r="K24" s="57" t="e">
        <f>#REF!</f>
        <v>#REF!</v>
      </c>
    </row>
    <row r="25" spans="1:11" x14ac:dyDescent="0.15">
      <c r="A25" s="4"/>
    </row>
    <row r="26" spans="1:11" x14ac:dyDescent="0.15">
      <c r="A26" s="4"/>
    </row>
    <row r="27" spans="1:11" x14ac:dyDescent="0.15">
      <c r="A27" s="4"/>
    </row>
    <row r="28" spans="1:11" x14ac:dyDescent="0.15">
      <c r="A28" s="4"/>
      <c r="B28" s="69" t="s">
        <v>46</v>
      </c>
      <c r="C28" s="69" t="s">
        <v>47</v>
      </c>
      <c r="D28" s="69" t="s">
        <v>40</v>
      </c>
      <c r="E28" s="69" t="s">
        <v>52</v>
      </c>
      <c r="F28" s="4">
        <v>2008</v>
      </c>
      <c r="G28" s="4">
        <v>2009</v>
      </c>
    </row>
    <row r="29" spans="1:11" x14ac:dyDescent="0.15">
      <c r="A29" s="4" t="s">
        <v>55</v>
      </c>
      <c r="B29" s="79" t="e">
        <f>('Financial Statistics '!N40/#REF!)*100</f>
        <v>#REF!</v>
      </c>
      <c r="C29" s="79" t="e">
        <f>('Financial Statistics '!M40/#REF!)*100</f>
        <v>#REF!</v>
      </c>
      <c r="D29" s="79" t="e">
        <f>('Financial Statistics '!L40/#REF!)*100</f>
        <v>#REF!</v>
      </c>
      <c r="E29" s="79" t="e">
        <f>('Financial Statistics '!K40/#REF!)*100</f>
        <v>#REF!</v>
      </c>
      <c r="F29" s="79" t="e">
        <f>('Financial Statistics '!J40/#REF!)*100</f>
        <v>#REF!</v>
      </c>
      <c r="G29" s="79" t="e">
        <f>('Financial Statistics '!I40/#REF!)*100</f>
        <v>#REF!</v>
      </c>
    </row>
    <row r="30" spans="1:11" x14ac:dyDescent="0.15">
      <c r="A30" s="4"/>
    </row>
    <row r="31" spans="1:11" x14ac:dyDescent="0.15">
      <c r="A31" s="4"/>
    </row>
    <row r="32" spans="1:11" x14ac:dyDescent="0.15">
      <c r="A32" s="4" t="s">
        <v>59</v>
      </c>
      <c r="B32" s="16">
        <v>5396</v>
      </c>
      <c r="C32" s="16">
        <v>5826</v>
      </c>
      <c r="D32" s="16">
        <v>84674</v>
      </c>
      <c r="E32" s="16">
        <v>114028</v>
      </c>
      <c r="F32" s="16">
        <v>125805</v>
      </c>
      <c r="G32" s="16">
        <v>109329</v>
      </c>
    </row>
    <row r="33" spans="1:7" x14ac:dyDescent="0.15">
      <c r="A33" s="4" t="s">
        <v>60</v>
      </c>
      <c r="B33" s="81">
        <f>'Financial Statistics '!N39</f>
        <v>15202.004000000001</v>
      </c>
      <c r="C33" s="81">
        <f>'Financial Statistics '!M39</f>
        <v>7855.9069999999992</v>
      </c>
      <c r="D33" s="81">
        <f>'Financial Statistics '!L39</f>
        <v>6857</v>
      </c>
      <c r="E33" s="81">
        <f>'Financial Statistics '!K39</f>
        <v>8288</v>
      </c>
      <c r="F33" s="81">
        <f>'Financial Statistics '!J39</f>
        <v>9119</v>
      </c>
      <c r="G33" s="81">
        <f>'Financial Statistics '!I39</f>
        <v>8793</v>
      </c>
    </row>
    <row r="34" spans="1:7" x14ac:dyDescent="0.15">
      <c r="A34" s="4"/>
      <c r="B34" s="81">
        <f t="shared" ref="B34:G34" si="0">B33-B32</f>
        <v>9806.0040000000008</v>
      </c>
      <c r="C34" s="81">
        <f t="shared" si="0"/>
        <v>2029.9069999999992</v>
      </c>
      <c r="D34" s="81">
        <f t="shared" si="0"/>
        <v>-77817</v>
      </c>
      <c r="E34" s="81">
        <f t="shared" si="0"/>
        <v>-105740</v>
      </c>
      <c r="F34" s="81">
        <f t="shared" si="0"/>
        <v>-116686</v>
      </c>
      <c r="G34" s="81">
        <f t="shared" si="0"/>
        <v>-100536</v>
      </c>
    </row>
    <row r="35" spans="1:7" x14ac:dyDescent="0.15">
      <c r="A35" s="4"/>
      <c r="B35" s="81"/>
      <c r="C35" s="81"/>
      <c r="D35" s="81"/>
      <c r="E35" s="81"/>
      <c r="F35" s="81"/>
      <c r="G35" s="81"/>
    </row>
    <row r="36" spans="1:7" x14ac:dyDescent="0.15">
      <c r="A36" s="4"/>
      <c r="B36" s="69" t="s">
        <v>46</v>
      </c>
      <c r="C36" s="69" t="s">
        <v>47</v>
      </c>
      <c r="D36" s="69" t="s">
        <v>40</v>
      </c>
      <c r="E36" s="69" t="s">
        <v>52</v>
      </c>
      <c r="F36" s="4">
        <v>2008</v>
      </c>
      <c r="G36" s="4">
        <v>2009</v>
      </c>
    </row>
    <row r="37" spans="1:7" x14ac:dyDescent="0.15">
      <c r="A37" s="4" t="s">
        <v>64</v>
      </c>
      <c r="B37" s="79" t="e">
        <f>(B34/#REF!)*100</f>
        <v>#REF!</v>
      </c>
      <c r="C37" s="79" t="e">
        <f>(C34/#REF!)*100</f>
        <v>#REF!</v>
      </c>
      <c r="D37" s="79" t="e">
        <f>(D34/#REF!)*100</f>
        <v>#REF!</v>
      </c>
      <c r="E37" s="79" t="e">
        <f>(E34/#REF!)*100</f>
        <v>#REF!</v>
      </c>
      <c r="F37" s="79" t="e">
        <f>(F34/#REF!)*100</f>
        <v>#REF!</v>
      </c>
      <c r="G37" s="79" t="e">
        <f>(G34/#REF!)*100</f>
        <v>#REF!</v>
      </c>
    </row>
    <row r="38" spans="1:7" x14ac:dyDescent="0.15">
      <c r="A38" s="4" t="s">
        <v>65</v>
      </c>
      <c r="B38" s="79" t="e">
        <f>('Financial Statistics '!N41/#REF!)*100</f>
        <v>#REF!</v>
      </c>
      <c r="C38" s="79" t="e">
        <f>('Financial Statistics '!M41/#REF!)*100</f>
        <v>#REF!</v>
      </c>
      <c r="D38" s="79" t="e">
        <f>('Financial Statistics '!L41/#REF!)*100</f>
        <v>#REF!</v>
      </c>
      <c r="E38" s="79" t="e">
        <f>('Financial Statistics '!K41/#REF!)*100</f>
        <v>#REF!</v>
      </c>
      <c r="F38" s="79" t="e">
        <f>('Financial Statistics '!J41/#REF!)*100</f>
        <v>#REF!</v>
      </c>
      <c r="G38" s="79" t="e">
        <f>('Financial Statistics '!I41/#REF!)*100</f>
        <v>#REF!</v>
      </c>
    </row>
    <row r="39" spans="1:7" x14ac:dyDescent="0.15">
      <c r="A39" s="4" t="s">
        <v>62</v>
      </c>
      <c r="B39" s="79" t="e">
        <f>('Financial Statistics '!N46/#REF!)*100</f>
        <v>#REF!</v>
      </c>
      <c r="C39" s="79" t="e">
        <f>('Financial Statistics '!M46/#REF!)*100</f>
        <v>#REF!</v>
      </c>
      <c r="D39" s="79" t="e">
        <f>('Financial Statistics '!L46/#REF!)*100</f>
        <v>#REF!</v>
      </c>
      <c r="E39" s="79" t="e">
        <f>('Financial Statistics '!K46/#REF!)*100</f>
        <v>#REF!</v>
      </c>
      <c r="F39" s="79" t="e">
        <f>('Financial Statistics '!J46/#REF!)*100</f>
        <v>#REF!</v>
      </c>
      <c r="G39" s="79" t="e">
        <f>('Financial Statistics '!I46/#REF!)*100</f>
        <v>#REF!</v>
      </c>
    </row>
    <row r="40" spans="1:7" x14ac:dyDescent="0.15">
      <c r="A40" s="4" t="s">
        <v>63</v>
      </c>
      <c r="B40" s="79" t="e">
        <f>('Financial Statistics '!N40/#REF!)*100</f>
        <v>#REF!</v>
      </c>
      <c r="C40" s="79" t="e">
        <f>('Financial Statistics '!M40/#REF!)*100</f>
        <v>#REF!</v>
      </c>
      <c r="D40" s="79" t="e">
        <f>('Financial Statistics '!L40/#REF!)*100</f>
        <v>#REF!</v>
      </c>
      <c r="E40" s="79" t="e">
        <f>('Financial Statistics '!K40/#REF!)*100</f>
        <v>#REF!</v>
      </c>
      <c r="F40" s="79" t="e">
        <f>('Financial Statistics '!J40/#REF!)*100</f>
        <v>#REF!</v>
      </c>
      <c r="G40" s="79" t="e">
        <f>('Financial Statistics '!I40/#REF!)*100</f>
        <v>#REF!</v>
      </c>
    </row>
    <row r="41" spans="1:7" x14ac:dyDescent="0.15">
      <c r="A41" s="4"/>
    </row>
    <row r="42" spans="1:7" x14ac:dyDescent="0.15">
      <c r="A42" s="4"/>
    </row>
    <row r="43" spans="1:7" x14ac:dyDescent="0.15">
      <c r="A43" s="4"/>
      <c r="B43" s="69" t="s">
        <v>46</v>
      </c>
      <c r="C43" s="69" t="s">
        <v>47</v>
      </c>
      <c r="D43" s="69" t="s">
        <v>40</v>
      </c>
      <c r="E43" s="69" t="s">
        <v>52</v>
      </c>
      <c r="F43" s="4">
        <v>2008</v>
      </c>
      <c r="G43" s="4">
        <v>2009</v>
      </c>
    </row>
    <row r="44" spans="1:7" x14ac:dyDescent="0.15">
      <c r="A44" s="4" t="s">
        <v>56</v>
      </c>
      <c r="B44" s="27">
        <f>'Financial Statistics '!N40/('Financial Statistics '!N17-'Financial Statistics '!N16)</f>
        <v>3.5504992234732073E-2</v>
      </c>
      <c r="C44" s="27">
        <f>'Financial Statistics '!M40/('Financial Statistics '!M17-'Financial Statistics '!M16)</f>
        <v>4.1197608751512058E-2</v>
      </c>
      <c r="D44" s="27">
        <f>'Financial Statistics '!L40/('Financial Statistics '!L17-'Financial Statistics '!L16)</f>
        <v>4.3982404674755317E-2</v>
      </c>
      <c r="E44" s="27">
        <f>'Financial Statistics '!K40/('Financial Statistics '!K17-'Financial Statistics '!K16)</f>
        <v>4.4498799511863259E-2</v>
      </c>
      <c r="F44" s="27">
        <f>'Financial Statistics '!J40/('Financial Statistics '!J17-'Financial Statistics '!J16)</f>
        <v>4.3072827612689629E-2</v>
      </c>
      <c r="G44" s="27">
        <f>'Financial Statistics '!I40/('Financial Statistics '!I17-'Financial Statistics '!I16)</f>
        <v>5.0839744873858971E-2</v>
      </c>
    </row>
    <row r="45" spans="1:7" x14ac:dyDescent="0.15">
      <c r="A45" s="4"/>
    </row>
    <row r="46" spans="1:7" x14ac:dyDescent="0.15">
      <c r="A46" s="4"/>
    </row>
    <row r="47" spans="1:7" x14ac:dyDescent="0.15">
      <c r="A47" s="4"/>
    </row>
    <row r="48" spans="1:7" x14ac:dyDescent="0.15">
      <c r="A48" s="4"/>
      <c r="B48" s="69" t="s">
        <v>46</v>
      </c>
      <c r="C48" s="69" t="s">
        <v>47</v>
      </c>
      <c r="D48" s="69" t="s">
        <v>40</v>
      </c>
      <c r="E48" s="69" t="s">
        <v>52</v>
      </c>
      <c r="F48" s="4">
        <v>2008</v>
      </c>
      <c r="G48" s="4">
        <v>2009</v>
      </c>
    </row>
    <row r="49" spans="1:11" x14ac:dyDescent="0.15">
      <c r="A49" s="4" t="s">
        <v>57</v>
      </c>
      <c r="B49" s="27">
        <f>'Financial Statistics '!N39/('Financial Statistics '!N17-'Financial Statistics '!N16)</f>
        <v>4.5733979883239455E-2</v>
      </c>
      <c r="C49" s="27">
        <f>'Financial Statistics '!M39/('Financial Statistics '!M17-'Financial Statistics '!M16)</f>
        <v>2.2986120949876763E-2</v>
      </c>
      <c r="D49" s="27">
        <f>'Financial Statistics '!L39/('Financial Statistics '!L17-'Financial Statistics '!L16)</f>
        <v>2.0257076091805295E-2</v>
      </c>
      <c r="E49" s="27">
        <f>'Financial Statistics '!K39/('Financial Statistics '!K17-'Financial Statistics '!K16)</f>
        <v>2.1939681758139363E-2</v>
      </c>
      <c r="F49" s="27">
        <f>'Financial Statistics '!J39/('Financial Statistics '!J17-'Financial Statistics '!J16)</f>
        <v>2.3660087645329606E-2</v>
      </c>
      <c r="G49" s="27">
        <f>'Financial Statistics '!I39/('Financial Statistics '!I17-'Financial Statistics '!I16)</f>
        <v>2.1746065898518359E-2</v>
      </c>
    </row>
    <row r="50" spans="1:11" x14ac:dyDescent="0.15">
      <c r="A50" s="4"/>
      <c r="D50" s="80"/>
    </row>
    <row r="51" spans="1:11" x14ac:dyDescent="0.15">
      <c r="A51" s="4"/>
    </row>
    <row r="52" spans="1:11" x14ac:dyDescent="0.15">
      <c r="A52" s="4"/>
    </row>
    <row r="53" spans="1:11" x14ac:dyDescent="0.15">
      <c r="A53" s="4"/>
      <c r="B53" s="69" t="s">
        <v>42</v>
      </c>
      <c r="C53" s="69" t="s">
        <v>43</v>
      </c>
      <c r="D53" s="69" t="s">
        <v>44</v>
      </c>
      <c r="E53" s="69" t="s">
        <v>45</v>
      </c>
      <c r="F53" s="69" t="s">
        <v>46</v>
      </c>
      <c r="G53" s="69" t="s">
        <v>47</v>
      </c>
      <c r="H53" s="69" t="s">
        <v>40</v>
      </c>
      <c r="I53" s="69" t="s">
        <v>52</v>
      </c>
      <c r="J53" s="4">
        <v>2008</v>
      </c>
      <c r="K53" s="4">
        <v>2009</v>
      </c>
    </row>
    <row r="54" spans="1:11" x14ac:dyDescent="0.15">
      <c r="A54" s="4" t="s">
        <v>61</v>
      </c>
      <c r="B54" s="82">
        <v>19.11</v>
      </c>
      <c r="C54" s="82">
        <v>19.16</v>
      </c>
      <c r="D54" s="82">
        <v>19.39</v>
      </c>
      <c r="E54" s="82">
        <v>19.37</v>
      </c>
      <c r="F54" s="82">
        <v>19.329999999999998</v>
      </c>
      <c r="G54" s="82">
        <v>19.420000000000002</v>
      </c>
      <c r="H54" s="82">
        <v>19.45</v>
      </c>
      <c r="I54" s="82">
        <v>19.5</v>
      </c>
      <c r="J54" s="82">
        <v>19.72</v>
      </c>
      <c r="K54" s="82">
        <v>19.88</v>
      </c>
    </row>
    <row r="55" spans="1:11" x14ac:dyDescent="0.15">
      <c r="A55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 Statistics </vt:lpstr>
      <vt:lpstr>Data</vt:lpstr>
      <vt:lpstr>Sheet1</vt:lpstr>
    </vt:vector>
  </TitlesOfParts>
  <Company>St.Lucia Electricity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Microsoft Office User</cp:lastModifiedBy>
  <cp:lastPrinted>2017-03-24T13:57:57Z</cp:lastPrinted>
  <dcterms:created xsi:type="dcterms:W3CDTF">2001-02-05T16:24:54Z</dcterms:created>
  <dcterms:modified xsi:type="dcterms:W3CDTF">2017-04-16T14:14:56Z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